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updateLinks="never" defaultThemeVersion="166925"/>
  <mc:AlternateContent xmlns:mc="http://schemas.openxmlformats.org/markup-compatibility/2006">
    <mc:Choice Requires="x15">
      <x15ac:absPath xmlns:x15ac="http://schemas.microsoft.com/office/spreadsheetml/2010/11/ac" url="https://gccprod.sharepoint.com/sites/BCA-GreenMarkAssessors-MST-GM2021criteriaupdate/Shared Documents/FINAL (FOR UPLOADING)/"/>
    </mc:Choice>
  </mc:AlternateContent>
  <xr:revisionPtr revIDLastSave="7" documentId="13_ncr:1_{402254F7-EFEE-4FFA-B267-E9C57B7724F3}" xr6:coauthVersionLast="47" xr6:coauthVersionMax="47" xr10:uidLastSave="{FE6496E1-BAD7-49D9-BC33-52A4A3230725}"/>
  <bookViews>
    <workbookView xWindow="28680" yWindow="-120" windowWidth="29040" windowHeight="15840" tabRatio="892" xr2:uid="{00000000-000D-0000-FFFF-FFFF00000000}"/>
  </bookViews>
  <sheets>
    <sheet name="1. Project Details" sheetId="27" r:id="rId1"/>
    <sheet name="2. Summary" sheetId="1" r:id="rId2"/>
    <sheet name="3. Energy Efficiency" sheetId="28" r:id="rId3"/>
    <sheet name="4. Resilience" sheetId="2" r:id="rId4"/>
    <sheet name="5. Whole Life Carbon" sheetId="3" r:id="rId5"/>
    <sheet name="6. Health&amp;Wellbeing" sheetId="30" r:id="rId6"/>
    <sheet name="7. Intelligence" sheetId="29" r:id="rId7"/>
    <sheet name="8. Maintainability" sheetId="26"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Maintainability'!$A$1:$G$64</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30" l="1"/>
  <c r="D8" i="1"/>
  <c r="D29" i="1"/>
  <c r="D28" i="1"/>
  <c r="D27" i="1"/>
  <c r="D26" i="1"/>
  <c r="D25" i="1"/>
  <c r="D11" i="1"/>
  <c r="C11" i="1"/>
  <c r="H96" i="30" l="1"/>
  <c r="H95" i="30"/>
  <c r="H93" i="30"/>
  <c r="H89" i="30"/>
  <c r="H92" i="30" s="1"/>
  <c r="H81" i="30"/>
  <c r="H82" i="30" s="1"/>
  <c r="H79" i="30"/>
  <c r="H78" i="30"/>
  <c r="H72" i="30"/>
  <c r="H73" i="30" s="1"/>
  <c r="H66" i="30"/>
  <c r="H65" i="30"/>
  <c r="H69" i="30" s="1"/>
  <c r="H62" i="30"/>
  <c r="H61" i="30"/>
  <c r="H57" i="30"/>
  <c r="H58" i="30" s="1"/>
  <c r="H51" i="30"/>
  <c r="H50" i="30"/>
  <c r="H49" i="30"/>
  <c r="H48" i="30"/>
  <c r="H52" i="30" s="1"/>
  <c r="H44" i="30"/>
  <c r="H40" i="30"/>
  <c r="H34" i="30"/>
  <c r="H33" i="30"/>
  <c r="H35" i="30" s="1"/>
  <c r="H31" i="30"/>
  <c r="H30" i="30"/>
  <c r="H22" i="30"/>
  <c r="H12" i="30"/>
  <c r="H10" i="30"/>
  <c r="H7" i="30"/>
  <c r="H6" i="30"/>
  <c r="H8" i="30" s="1"/>
  <c r="H49" i="3"/>
  <c r="F59" i="29"/>
  <c r="F33" i="29"/>
  <c r="F25" i="29"/>
  <c r="F19" i="29"/>
  <c r="F58" i="29"/>
  <c r="F57" i="29"/>
  <c r="F56" i="29"/>
  <c r="F55" i="29"/>
  <c r="F63" i="29"/>
  <c r="F62" i="29"/>
  <c r="F54" i="29"/>
  <c r="F53" i="29"/>
  <c r="F51" i="29"/>
  <c r="F48" i="29"/>
  <c r="F45" i="29"/>
  <c r="F40" i="29"/>
  <c r="F32" i="29"/>
  <c r="F30" i="29"/>
  <c r="F24" i="29"/>
  <c r="F23" i="29"/>
  <c r="F22" i="29"/>
  <c r="F18" i="29"/>
  <c r="F17" i="29"/>
  <c r="F16" i="29"/>
  <c r="F14" i="29"/>
  <c r="F13" i="29"/>
  <c r="F9" i="29"/>
  <c r="F8" i="29"/>
  <c r="F7" i="29"/>
  <c r="F5" i="29"/>
  <c r="F37" i="2"/>
  <c r="H54" i="3"/>
  <c r="H70" i="30" l="1"/>
  <c r="H3" i="30"/>
  <c r="H45" i="30"/>
  <c r="K26" i="26"/>
  <c r="M26" i="26" s="1"/>
  <c r="C43" i="26"/>
  <c r="K52" i="26"/>
  <c r="M52" i="26" s="1"/>
  <c r="K48" i="26"/>
  <c r="M48" i="26" s="1"/>
  <c r="K39" i="26"/>
  <c r="M39" i="26" s="1"/>
  <c r="K50" i="26"/>
  <c r="M50" i="26" s="1"/>
  <c r="K38" i="26"/>
  <c r="M38" i="26" s="1"/>
  <c r="K41" i="26"/>
  <c r="M41" i="26" s="1"/>
  <c r="K17" i="26"/>
  <c r="M17" i="26" s="1"/>
  <c r="C50" i="26"/>
  <c r="K33" i="26"/>
  <c r="M33" i="26" s="1"/>
  <c r="K49" i="26"/>
  <c r="M49" i="26" s="1"/>
  <c r="K59" i="26"/>
  <c r="M59" i="26" s="1"/>
  <c r="C52" i="26"/>
  <c r="K11" i="26"/>
  <c r="M11" i="26" s="1"/>
  <c r="C45" i="26"/>
  <c r="C26" i="26"/>
  <c r="K8" i="26"/>
  <c r="M8" i="26" s="1"/>
  <c r="F60" i="29"/>
  <c r="F20" i="29"/>
  <c r="F10" i="29"/>
  <c r="F34" i="29"/>
  <c r="E46" i="26"/>
  <c r="E42" i="26"/>
  <c r="E32" i="26"/>
  <c r="E30" i="26"/>
  <c r="E21" i="26"/>
  <c r="K56" i="26"/>
  <c r="M56" i="26" s="1"/>
  <c r="K47" i="26"/>
  <c r="M47" i="26" s="1"/>
  <c r="K40" i="26"/>
  <c r="M40" i="26" s="1"/>
  <c r="K35" i="26"/>
  <c r="M35" i="26" s="1"/>
  <c r="K31" i="26"/>
  <c r="M31" i="26" s="1"/>
  <c r="K27" i="26"/>
  <c r="M27" i="26" s="1"/>
  <c r="K24" i="26"/>
  <c r="M24" i="26" s="1"/>
  <c r="K20" i="26"/>
  <c r="M20" i="26" s="1"/>
  <c r="K19" i="26"/>
  <c r="M19" i="26" s="1"/>
  <c r="C56" i="26"/>
  <c r="B56" i="26"/>
  <c r="C55" i="26"/>
  <c r="B55" i="26"/>
  <c r="B53" i="26"/>
  <c r="B51" i="26"/>
  <c r="C49" i="26"/>
  <c r="B49" i="26"/>
  <c r="C48" i="26"/>
  <c r="B48" i="26"/>
  <c r="C47" i="26"/>
  <c r="B47" i="26"/>
  <c r="C46" i="26"/>
  <c r="B46" i="26"/>
  <c r="B45" i="26"/>
  <c r="B44" i="26"/>
  <c r="C42" i="26"/>
  <c r="B42" i="26"/>
  <c r="C41" i="26"/>
  <c r="B41" i="26"/>
  <c r="C40" i="26"/>
  <c r="B40" i="26"/>
  <c r="C39" i="26"/>
  <c r="B39" i="26"/>
  <c r="C38" i="26"/>
  <c r="B38" i="26"/>
  <c r="B37" i="26"/>
  <c r="C35" i="26"/>
  <c r="B35" i="26"/>
  <c r="C34" i="26"/>
  <c r="B34" i="26"/>
  <c r="C33" i="26"/>
  <c r="B33" i="26"/>
  <c r="C32" i="26"/>
  <c r="B32" i="26"/>
  <c r="C31" i="26"/>
  <c r="B31" i="26"/>
  <c r="C30" i="26"/>
  <c r="B30" i="26"/>
  <c r="B29" i="26"/>
  <c r="C27" i="26"/>
  <c r="B27" i="26"/>
  <c r="B26" i="26"/>
  <c r="C25" i="26"/>
  <c r="B25" i="26"/>
  <c r="C24" i="26"/>
  <c r="B24" i="26"/>
  <c r="B23" i="26"/>
  <c r="C21" i="26"/>
  <c r="B21" i="26"/>
  <c r="C20" i="26"/>
  <c r="B20" i="26"/>
  <c r="C19" i="26"/>
  <c r="B19" i="26"/>
  <c r="C18" i="26"/>
  <c r="B18" i="26"/>
  <c r="C17" i="26"/>
  <c r="A17" i="26"/>
  <c r="B16" i="26"/>
  <c r="B15" i="26"/>
  <c r="C14" i="26"/>
  <c r="B14" i="26"/>
  <c r="C13" i="26"/>
  <c r="A13" i="26"/>
  <c r="B12" i="26"/>
  <c r="A11" i="26"/>
  <c r="B9" i="26"/>
  <c r="G54" i="26"/>
  <c r="G52" i="26"/>
  <c r="G50" i="26"/>
  <c r="G43" i="26"/>
  <c r="G36" i="26"/>
  <c r="G28" i="26"/>
  <c r="G22" i="26"/>
  <c r="G17" i="26"/>
  <c r="G13" i="26"/>
  <c r="G11" i="26"/>
  <c r="G8" i="26"/>
  <c r="H2" i="30" l="1"/>
  <c r="C10" i="1" s="1"/>
  <c r="D24" i="1"/>
  <c r="K44" i="26"/>
  <c r="M44" i="26" s="1"/>
  <c r="C51" i="26"/>
  <c r="C37" i="26"/>
  <c r="K18" i="26"/>
  <c r="M18" i="26" s="1"/>
  <c r="C8" i="26"/>
  <c r="C11" i="26"/>
  <c r="C9" i="26"/>
  <c r="C12" i="26"/>
  <c r="C53" i="26"/>
  <c r="K45" i="26"/>
  <c r="M45" i="26" s="1"/>
  <c r="C44" i="26"/>
  <c r="K58" i="26"/>
  <c r="M58" i="26" s="1"/>
  <c r="K25" i="26"/>
  <c r="M25" i="26" s="1"/>
  <c r="C22" i="26"/>
  <c r="K55" i="26"/>
  <c r="E24" i="26"/>
  <c r="C23" i="26"/>
  <c r="E49" i="26"/>
  <c r="C10" i="26"/>
  <c r="K53" i="26"/>
  <c r="M53" i="26" s="1"/>
  <c r="C36" i="26"/>
  <c r="C28" i="26"/>
  <c r="K34" i="26"/>
  <c r="E35" i="26"/>
  <c r="K9" i="26"/>
  <c r="M9" i="26" s="1"/>
  <c r="E40" i="26"/>
  <c r="E31" i="26"/>
  <c r="K12" i="26"/>
  <c r="M12" i="26" s="1"/>
  <c r="K51" i="26"/>
  <c r="M51" i="26" s="1"/>
  <c r="E27" i="26"/>
  <c r="E56" i="26"/>
  <c r="E33" i="26"/>
  <c r="C29" i="26"/>
  <c r="E19" i="26"/>
  <c r="E47" i="26"/>
  <c r="E20" i="26"/>
  <c r="F3" i="29"/>
  <c r="F2" i="29" s="1"/>
  <c r="E38" i="26"/>
  <c r="E39" i="26"/>
  <c r="E8" i="26"/>
  <c r="E41" i="26"/>
  <c r="E48" i="26"/>
  <c r="C59" i="26"/>
  <c r="E26" i="26"/>
  <c r="G10" i="26"/>
  <c r="J60" i="26" s="1"/>
  <c r="E18" i="26" l="1"/>
  <c r="M34" i="26"/>
  <c r="E34" i="26" s="1"/>
  <c r="K54" i="26"/>
  <c r="M55" i="26"/>
  <c r="E55" i="26" s="1"/>
  <c r="K36" i="26"/>
  <c r="M36" i="26" s="1"/>
  <c r="K37" i="26"/>
  <c r="M37" i="26" s="1"/>
  <c r="K29" i="26"/>
  <c r="M29" i="26" s="1"/>
  <c r="C58" i="26"/>
  <c r="E45" i="26"/>
  <c r="K43" i="26"/>
  <c r="M43" i="26" s="1"/>
  <c r="E25" i="26"/>
  <c r="C7" i="26"/>
  <c r="B32" i="1" s="1"/>
  <c r="K22" i="26"/>
  <c r="M22" i="26" s="1"/>
  <c r="K23" i="26"/>
  <c r="M23" i="26" s="1"/>
  <c r="K28" i="26"/>
  <c r="M28" i="26" s="1"/>
  <c r="E44" i="26"/>
  <c r="E9" i="26"/>
  <c r="E17" i="26"/>
  <c r="E11" i="26"/>
  <c r="E12" i="26"/>
  <c r="E50" i="26"/>
  <c r="E51" i="26"/>
  <c r="E52" i="26"/>
  <c r="E53" i="26"/>
  <c r="M54" i="26" l="1"/>
  <c r="E54" i="26" s="1"/>
  <c r="K14" i="26"/>
  <c r="M14" i="26" s="1"/>
  <c r="E43" i="26"/>
  <c r="E22" i="26"/>
  <c r="K13" i="26"/>
  <c r="M13" i="26" s="1"/>
  <c r="E23" i="26"/>
  <c r="E36" i="26"/>
  <c r="E37" i="26"/>
  <c r="E28" i="26"/>
  <c r="E29" i="26"/>
  <c r="K10" i="26" l="1"/>
  <c r="M10" i="26" s="1"/>
  <c r="K57" i="26"/>
  <c r="M57" i="26" s="1"/>
  <c r="K60" i="26"/>
  <c r="M60" i="26" s="1"/>
  <c r="E14" i="26"/>
  <c r="H73" i="3"/>
  <c r="H20" i="3"/>
  <c r="F22" i="2"/>
  <c r="F15" i="2"/>
  <c r="K62" i="26" l="1"/>
  <c r="M62" i="26" s="1"/>
  <c r="K61" i="26"/>
  <c r="M61" i="26" s="1"/>
  <c r="E13" i="26"/>
  <c r="H79" i="3"/>
  <c r="H80" i="3" s="1"/>
  <c r="H76" i="3"/>
  <c r="H60" i="3"/>
  <c r="H43" i="3"/>
  <c r="H35" i="3"/>
  <c r="K63" i="26" l="1"/>
  <c r="M63" i="26" s="1"/>
  <c r="E10" i="26"/>
  <c r="E60" i="26" l="1"/>
  <c r="J57" i="26"/>
  <c r="C57" i="26" s="1"/>
  <c r="E61" i="26" l="1"/>
  <c r="G59" i="26"/>
  <c r="G60" i="26"/>
  <c r="C32" i="1" s="1"/>
  <c r="J63" i="26" l="1"/>
  <c r="C62" i="26"/>
  <c r="J62" i="26" s="1"/>
  <c r="H52" i="3"/>
  <c r="H15" i="3" l="1"/>
  <c r="H17" i="3" s="1"/>
  <c r="F32" i="2" l="1"/>
  <c r="H67" i="3" l="1"/>
  <c r="H75" i="3"/>
  <c r="H68" i="3"/>
  <c r="H66" i="3"/>
  <c r="H62" i="3"/>
  <c r="H58" i="3"/>
  <c r="H28" i="3"/>
  <c r="H30" i="3" s="1"/>
  <c r="H19" i="3"/>
  <c r="D10" i="1" l="1"/>
  <c r="H26" i="3"/>
  <c r="H63" i="3"/>
  <c r="H69" i="3"/>
  <c r="H31" i="3" s="1"/>
  <c r="H77" i="3"/>
  <c r="H84" i="3"/>
  <c r="H83" i="3"/>
  <c r="H70" i="3" l="1"/>
  <c r="D23" i="1" s="1"/>
  <c r="D22" i="1"/>
  <c r="H81" i="3"/>
  <c r="H3" i="3"/>
  <c r="I34" i="2"/>
  <c r="I33" i="2"/>
  <c r="I32" i="2"/>
  <c r="F6" i="2"/>
  <c r="F7" i="2"/>
  <c r="F16" i="2"/>
  <c r="F19" i="2"/>
  <c r="F20" i="2" s="1"/>
  <c r="F23" i="2"/>
  <c r="F69" i="2"/>
  <c r="F68" i="2"/>
  <c r="F64" i="2"/>
  <c r="F63" i="2"/>
  <c r="F59" i="2"/>
  <c r="F58" i="2"/>
  <c r="F57" i="2"/>
  <c r="F51" i="2"/>
  <c r="F50" i="2"/>
  <c r="F46" i="2"/>
  <c r="F45" i="2"/>
  <c r="F44" i="2"/>
  <c r="F43" i="2"/>
  <c r="F39" i="2"/>
  <c r="F26" i="2"/>
  <c r="F27" i="2" s="1"/>
  <c r="J34" i="2" l="1"/>
  <c r="F34" i="2"/>
  <c r="F35" i="2" s="1"/>
  <c r="D21" i="1"/>
  <c r="H2" i="3"/>
  <c r="C9" i="1" s="1"/>
  <c r="D9" i="1" s="1"/>
  <c r="F66" i="2"/>
  <c r="F47" i="2"/>
  <c r="F8" i="2"/>
  <c r="F3" i="2" s="1"/>
  <c r="F53" i="2"/>
  <c r="J32" i="2"/>
  <c r="F65" i="2"/>
  <c r="F60" i="2"/>
  <c r="F54" i="2" l="1"/>
  <c r="D20" i="1" s="1"/>
  <c r="D18" i="1"/>
  <c r="F28" i="2"/>
  <c r="D19" i="1" s="1"/>
  <c r="F2" i="2" l="1"/>
  <c r="C8" i="1" s="1"/>
  <c r="G61" i="26" l="1"/>
  <c r="C63" i="26" s="1"/>
  <c r="D32" i="1" l="1"/>
  <c r="C12" i="1" s="1"/>
  <c r="C13" i="1" s="1"/>
  <c r="C64" i="26"/>
  <c r="D12" i="1" s="1"/>
</calcChain>
</file>

<file path=xl/sharedStrings.xml><?xml version="1.0" encoding="utf-8"?>
<sst xmlns="http://schemas.openxmlformats.org/spreadsheetml/2006/main" count="982" uniqueCount="535">
  <si>
    <t>GM: 2021 - New 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</si>
  <si>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</si>
  <si>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</si>
  <si>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</si>
  <si>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</si>
  <si>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</si>
  <si>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</si>
  <si>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</si>
  <si>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</si>
  <si>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</si>
  <si>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</si>
  <si>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</si>
  <si>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</si>
  <si>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</si>
  <si>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</si>
  <si>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</si>
  <si>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</si>
  <si>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</si>
  <si>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</si>
  <si>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</si>
  <si>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</si>
  <si>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</si>
  <si>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</si>
  <si>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</si>
  <si>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</si>
  <si>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</si>
  <si>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</si>
  <si>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</si>
  <si>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</si>
  <si>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</si>
  <si>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</si>
  <si>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</si>
  <si>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</si>
  <si>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</si>
  <si>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</si>
  <si>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</si>
  <si>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</si>
  <si>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</si>
  <si>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</si>
  <si>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</si>
  <si>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</si>
  <si>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</si>
  <si>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</si>
  <si>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</si>
  <si>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</si>
  <si>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</si>
  <si>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</si>
  <si>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</si>
  <si>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</si>
  <si>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</si>
  <si>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</si>
  <si>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</si>
  <si>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</si>
  <si>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</si>
  <si>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</si>
  <si>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</si>
  <si>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</si>
  <si>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</si>
  <si>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</si>
  <si>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</si>
  <si>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Max Maintainability Points</t>
  </si>
  <si>
    <t>MAINTAINABILITY POINTS SCORED</t>
  </si>
  <si>
    <t>CORRESPONDING GM SCORE</t>
  </si>
  <si>
    <t>CRITERIA FOR ENERGY EFFICIENCY SECTION</t>
  </si>
  <si>
    <t>Data Input</t>
  </si>
  <si>
    <t>Input Required</t>
  </si>
  <si>
    <t>ENERGY EFFICIENCY</t>
  </si>
  <si>
    <t>Building supplied by District Cooling System?</t>
  </si>
  <si>
    <t>Y/N</t>
  </si>
  <si>
    <t>PATHWAY 2 - FIXED METRICS</t>
  </si>
  <si>
    <t>(i)</t>
  </si>
  <si>
    <t>Reduced Heat Gain (RETV)</t>
  </si>
  <si>
    <t>Input (#)</t>
  </si>
  <si>
    <t>(ii)</t>
  </si>
  <si>
    <t>Ventilation Performance of Dwelling Units
a) Option 1: Plan Level
b) Option 2: Simulation
c) Option 3: Simulation + PMV</t>
  </si>
  <si>
    <t>Option
1 / 2 / 3</t>
  </si>
  <si>
    <t>Input (%)</t>
  </si>
  <si>
    <t>(iii)</t>
  </si>
  <si>
    <t>ACMV TSE</t>
  </si>
  <si>
    <t>Single Phase (no. of ticks)</t>
  </si>
  <si>
    <t>(iv)</t>
  </si>
  <si>
    <t>Energy Efficient Dwelling Unit Equipment Selection</t>
  </si>
  <si>
    <t>Refrigerators (no. of ticks)</t>
  </si>
  <si>
    <t>Dryer (no. of ticks)</t>
  </si>
  <si>
    <t>Other applicances (no. of ticks)</t>
  </si>
  <si>
    <t>(v)</t>
  </si>
  <si>
    <t>Ventilation Performance - Common Areas</t>
  </si>
  <si>
    <t>(vi)</t>
  </si>
  <si>
    <t>Vertical Transportation System</t>
  </si>
  <si>
    <t>(vii)</t>
  </si>
  <si>
    <t>Lighting Power Budget</t>
  </si>
  <si>
    <t>(viii)</t>
  </si>
  <si>
    <t xml:space="preserve">Mechanical Ventilation </t>
  </si>
  <si>
    <t>(ix)</t>
  </si>
  <si>
    <t>Demand Control Systems</t>
  </si>
  <si>
    <t>(x)</t>
  </si>
  <si>
    <t>On-Site Renewables to offset common area consumption</t>
  </si>
  <si>
    <t>(xi)</t>
  </si>
  <si>
    <r>
      <t xml:space="preserve">On-Site Renewables - </t>
    </r>
    <r>
      <rPr>
        <i/>
        <sz val="12"/>
        <color theme="1"/>
        <rFont val="Calibri"/>
        <family val="2"/>
        <scheme val="minor"/>
      </rPr>
      <t>replacement to make up any deficiencies from the above list, with safety factor</t>
    </r>
  </si>
  <si>
    <t>CRITERIA FOR RESILIENCE SECTION</t>
  </si>
  <si>
    <t>Available points for New Buildings</t>
  </si>
  <si>
    <t>Points Scored</t>
  </si>
  <si>
    <t>Remarks</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</si>
  <si>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</si>
  <si>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</si>
  <si>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</si>
  <si>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</si>
  <si>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</si>
  <si>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</si>
  <si>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</si>
  <si>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</si>
  <si>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</si>
  <si>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</si>
  <si>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</si>
  <si>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</si>
  <si>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</si>
  <si>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</si>
  <si>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</si>
  <si>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N.A.</t>
  </si>
  <si>
    <t>b) Water Management Policy and Water Improvement Plan</t>
  </si>
  <si>
    <t>c) Waste Management Policy &amp; 3R Plan</t>
  </si>
  <si>
    <t xml:space="preserve">a) Achieved PUB Water Efficient Building certification?  </t>
  </si>
  <si>
    <t>b) PUB WELS 3-ticks rating for 90% of all relevant water fittings.</t>
  </si>
  <si>
    <t>SUB-TOTAL FOR RE 1.1 b</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</si>
  <si>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</si>
  <si>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</si>
  <si>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</si>
  <si>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</si>
  <si>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</si>
  <si>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</si>
  <si>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</si>
  <si>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</si>
  <si>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</si>
  <si>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</si>
  <si>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</si>
  <si>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</si>
  <si>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</si>
  <si>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</si>
  <si>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</si>
  <si>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</si>
  <si>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SUB-TOTAL FOR RE 1.3</t>
  </si>
  <si>
    <t>RE2</t>
  </si>
  <si>
    <t>MANAGE</t>
  </si>
  <si>
    <t>RE2.1</t>
  </si>
  <si>
    <t>Leadership</t>
  </si>
  <si>
    <t>RE2.1a</t>
  </si>
  <si>
    <t>Project Team</t>
  </si>
  <si>
    <t>Appointment of accredited environmentalist specialists to drive and coordinate the environmental design approach.</t>
  </si>
  <si>
    <t>Sub-total</t>
  </si>
  <si>
    <t>No. of Certified GM AP</t>
  </si>
  <si>
    <t>0.25 pts/GM AP &amp; 0.5 pts /GM AAP 
(Capped at 0.5 pts)</t>
  </si>
  <si>
    <t>Max 0.5 pt</t>
  </si>
  <si>
    <t>No. of Certified GM AAP</t>
  </si>
  <si>
    <t>No. of firms certified under SGBC's SGBS certification or SIFMA's CFMC accreditation scheme.</t>
  </si>
  <si>
    <t>0.25 pts/firm 
(Capped at 0.5 pts)</t>
  </si>
  <si>
    <t>SUB-TOTAL FOR RE 2.1 a (Capped at 1 point)</t>
  </si>
  <si>
    <t>RE2.1b</t>
  </si>
  <si>
    <t>Procurement</t>
  </si>
  <si>
    <r>
      <t xml:space="preserve">Adoption of Sustainable or Green Procurement Policy for:-
- </t>
    </r>
    <r>
      <rPr>
        <b/>
        <sz val="12"/>
        <color theme="1"/>
        <rFont val="Calibri"/>
        <family val="2"/>
        <scheme val="minor"/>
      </rPr>
      <t>New Residential Buildings (for 1st year operation)</t>
    </r>
  </si>
  <si>
    <t>0.5 point</t>
  </si>
  <si>
    <r>
      <t xml:space="preserve">Adoption of Energy Performance Contract (EPC) by accredited EPC firm for </t>
    </r>
    <r>
      <rPr>
        <b/>
        <sz val="12"/>
        <color theme="1"/>
        <rFont val="Calibri"/>
        <family val="2"/>
        <scheme val="minor"/>
      </rPr>
      <t>Non-Residential Buildings.</t>
    </r>
  </si>
  <si>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</si>
  <si>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</si>
  <si>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</si>
  <si>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</si>
  <si>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</si>
  <si>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</si>
  <si>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</si>
  <si>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</si>
  <si>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</si>
  <si>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 (Capped at 1 point)</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</si>
  <si>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</si>
  <si>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</si>
  <si>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</si>
  <si>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</si>
  <si>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</si>
  <si>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</si>
  <si>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t>SUB-TOTAL FOR RE 2.3</t>
  </si>
  <si>
    <t>RE3</t>
  </si>
  <si>
    <t>RESTORE</t>
  </si>
  <si>
    <t>RE3.1</t>
  </si>
  <si>
    <t>Buildings In Nature</t>
  </si>
  <si>
    <t>Improving the ecology and quality of the natural environment on site through well-considered planting strategy.</t>
  </si>
  <si>
    <t>Greenery provision (GnPR shall be &gt;5 for New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</si>
  <si>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</si>
  <si>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</si>
  <si>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</si>
  <si>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</si>
  <si>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</si>
  <si>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</si>
  <si>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</si>
  <si>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</si>
  <si>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</si>
  <si>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</si>
  <si>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</si>
  <si>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</si>
  <si>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</si>
  <si>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Criteria RE 2.2 - Pushing the boundary of the circularity agenda by adopting innovative solutions/technologies to closing the resource loops and achieving zero waste.</t>
    </r>
  </si>
  <si>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</si>
  <si>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</si>
  <si>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</si>
  <si>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</si>
  <si>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</si>
  <si>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</si>
  <si>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</si>
  <si>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</si>
  <si>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</si>
  <si>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</si>
  <si>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</si>
  <si>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</si>
  <si>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</si>
  <si>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</si>
  <si>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</si>
  <si>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</si>
  <si>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</si>
  <si>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</si>
  <si>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</si>
  <si>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</si>
  <si>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3 points</t>
  </si>
  <si>
    <t>SUB-TOTAL FOR CN 1.1a</t>
  </si>
  <si>
    <t>Embodied Carbon Computation</t>
  </si>
  <si>
    <t xml:space="preserve">(i) </t>
  </si>
  <si>
    <t>Input (#) kg CO2e/m2</t>
  </si>
  <si>
    <t xml:space="preserve">(ii) </t>
  </si>
  <si>
    <t>1 point for (a)
2 points for (b)</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</si>
  <si>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</si>
  <si>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</si>
  <si>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</si>
  <si>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</si>
  <si>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</si>
  <si>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</si>
  <si>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</si>
  <si>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</si>
  <si>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</si>
  <si>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</si>
  <si>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</si>
  <si>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</si>
  <si>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</si>
  <si>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</si>
  <si>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</si>
  <si>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</si>
  <si>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</si>
  <si>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</si>
  <si>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</si>
  <si>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</si>
  <si>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</si>
  <si>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</si>
  <si>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</si>
  <si>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</si>
  <si>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</si>
  <si>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</si>
  <si>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</si>
  <si>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</si>
  <si>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</si>
  <si>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Capped at 1 point</t>
  </si>
  <si>
    <r>
      <t>Total concrete use for superstructure (m</t>
    </r>
    <r>
      <rPr>
        <vertAlign val="superscript"/>
        <sz val="12"/>
        <color theme="1"/>
        <rFont val="Calibri"/>
        <family val="2"/>
        <scheme val="minor"/>
      </rPr>
      <t>3</t>
    </r>
    <r>
      <rPr>
        <sz val="12"/>
        <color theme="1"/>
        <rFont val="Calibri"/>
        <family val="2"/>
        <scheme val="minor"/>
      </rPr>
      <t>)</t>
    </r>
  </si>
  <si>
    <t>0.5 points</t>
  </si>
  <si>
    <t>Replacement level of fine aggregate with WCS used for superstructure ≤ 10%</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</si>
  <si>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</si>
  <si>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</si>
  <si>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</si>
  <si>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</si>
  <si>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</si>
  <si>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</si>
  <si>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</si>
  <si>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</si>
  <si>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</si>
  <si>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SUB-TOTAL FOR CN 2.2</t>
  </si>
  <si>
    <t>CN2.3</t>
  </si>
  <si>
    <t>Conservation, Resource Recovery and Waste Management</t>
  </si>
  <si>
    <t>To encourage conservation of existing building structure, recovery of demolished building materials for reuse and/or recycling and waste management</t>
  </si>
  <si>
    <t>Existing structures are conserved and not demolished</t>
  </si>
  <si>
    <t>Existing structures are demolished with an enhanced demolition protocol, where a recovery ratte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</si>
  <si>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</si>
  <si>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</si>
  <si>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</si>
  <si>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</si>
  <si>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</si>
  <si>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</si>
  <si>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</si>
  <si>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</si>
  <si>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</si>
  <si>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</si>
  <si>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</si>
  <si>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</si>
  <si>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</si>
  <si>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</si>
  <si>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</si>
  <si>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(e.g. MCST) offset their common areas operational energy through the procurement of renewables, or through the ongoing purchase of certified carbon offsets.
(a) ≥ 30% of common areas consumption
(b) ≥ 60% of common areas consumption
(c) ≥ 90% of common areas consumption</t>
  </si>
  <si>
    <t xml:space="preserve">1 point for (a)
2 points for (b)
3 points for (c)  </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</si>
  <si>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</si>
  <si>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</si>
  <si>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</si>
  <si>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</si>
  <si>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</si>
  <si>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</si>
  <si>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</si>
  <si>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</si>
  <si>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</si>
  <si>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</si>
  <si>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</si>
  <si>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</si>
  <si>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</si>
  <si>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</si>
  <si>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For residential buildings the common staircases shall be designed to encourage their use through attractive wayfinding and design including stair finishes, use of colour and lighting and finishes.
</t>
    </r>
    <r>
      <rPr>
        <sz val="12"/>
        <color theme="1"/>
        <rFont val="Calibri"/>
        <family val="2"/>
        <scheme val="minor"/>
      </rPr>
      <t>(a) at least 10 floors, including basement(s) and ground floor
(b) all floors</t>
    </r>
  </si>
  <si>
    <t>A/B</t>
  </si>
  <si>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</si>
  <si>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</si>
  <si>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</si>
  <si>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</si>
  <si>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</si>
  <si>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</si>
  <si>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</si>
  <si>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</si>
  <si>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</si>
  <si>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</si>
  <si>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</si>
  <si>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</si>
  <si>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</si>
  <si>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r>
      <t xml:space="preserve">(a) at least 60% of all areas* with acceptable material finishes
(b) at least 80% of common areas with acceptable material finishes
</t>
    </r>
    <r>
      <rPr>
        <i/>
        <sz val="10"/>
        <color theme="1"/>
        <rFont val="Calibri"/>
        <family val="2"/>
        <scheme val="minor"/>
      </rPr>
      <t>*includes lettable areas for non-residential developments and dwelling units for residential developments</t>
    </r>
  </si>
  <si>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</si>
  <si>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</si>
  <si>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</si>
  <si>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</si>
  <si>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</si>
  <si>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</si>
  <si>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</si>
  <si>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t>Residential Buildings and Non Residential non Air-Conditioned functional spaces.</t>
  </si>
  <si>
    <t>A. Thermal comfort simulation: -0.5&lt;PMV&lt;0.5</t>
  </si>
  <si>
    <t>B. Effective cross ventilation: 70% of habitable areas to meet area weighted average wind velocity of 0.6m/s</t>
  </si>
  <si>
    <t>C. Prescriptive performance</t>
  </si>
  <si>
    <t>• Openings towards prevailing wind directions</t>
  </si>
  <si>
    <t>0.1 point for every 10%
Max 1 point</t>
  </si>
  <si>
    <t>• Residential Dwelling Unit Cross Ventilation
(a) at least 50% designed with true cross ventilation
(b) at least 60% designed with true cross ventilation
(c) at least 70% designed with true cross ventilation
(d) at least 75% designed with true cross ventilation</t>
  </si>
  <si>
    <t>0.5 points for (a)
1 point for (b)
2 points for (c) 
3 points for (d)</t>
  </si>
  <si>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</si>
  <si>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</si>
  <si>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</si>
  <si>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</si>
  <si>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</si>
  <si>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</si>
  <si>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</si>
  <si>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</si>
  <si>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</si>
  <si>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</si>
  <si>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</si>
  <si>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</si>
  <si>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</si>
  <si>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</si>
  <si>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</si>
  <si>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</si>
  <si>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</si>
  <si>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</si>
  <si>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</si>
  <si>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</si>
  <si>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</si>
  <si>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</si>
  <si>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</si>
  <si>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</si>
  <si>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</si>
  <si>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t>
    </r>
  </si>
  <si>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</si>
  <si>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</si>
  <si>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</si>
  <si>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</si>
  <si>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</si>
  <si>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</si>
  <si>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</si>
  <si>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</si>
  <si>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</si>
  <si>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</si>
  <si>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</si>
  <si>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</si>
  <si>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t>1.5 points</t>
  </si>
  <si>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</si>
  <si>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</si>
  <si>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</si>
  <si>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</si>
  <si>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</si>
  <si>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</si>
  <si>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</si>
  <si>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t>Sub-Total for HW3.1</t>
  </si>
  <si>
    <t>HW3.2</t>
  </si>
  <si>
    <t>Communal Spaces</t>
  </si>
  <si>
    <t>HW3.2a</t>
  </si>
  <si>
    <r>
      <rPr>
        <b/>
        <sz val="12"/>
        <color theme="1"/>
        <rFont val="Calibri"/>
        <family val="2"/>
        <scheme val="minor"/>
      </rPr>
      <t>Restorative and community Spaces</t>
    </r>
    <r>
      <rPr>
        <sz val="11"/>
        <color theme="1"/>
        <rFont val="Calibri"/>
        <family val="2"/>
        <scheme val="minor"/>
      </rPr>
      <t xml:space="preserve">
</t>
    </r>
  </si>
  <si>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</si>
  <si>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</si>
  <si>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</si>
  <si>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</si>
  <si>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</si>
  <si>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</si>
  <si>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</si>
  <si>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</si>
  <si>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</si>
  <si>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</si>
  <si>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</si>
  <si>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</si>
  <si>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</si>
  <si>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</si>
  <si>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</si>
  <si>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</si>
  <si>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</si>
  <si>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</si>
  <si>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</si>
  <si>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</si>
  <si>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</si>
  <si>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</si>
  <si>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</si>
  <si>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</si>
  <si>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Available points for Existing Buildings</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</si>
  <si>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</si>
  <si>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</si>
  <si>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</si>
  <si>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</si>
  <si>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</si>
  <si>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</si>
  <si>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</si>
  <si>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</si>
  <si>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</si>
  <si>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</si>
  <si>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</si>
  <si>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</si>
  <si>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</si>
  <si>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</si>
  <si>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</si>
  <si>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</si>
  <si>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</si>
  <si>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</si>
  <si>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</si>
  <si>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</si>
  <si>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</si>
  <si>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</si>
  <si>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</si>
  <si>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</si>
  <si>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</si>
  <si>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</si>
  <si>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</si>
  <si>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</si>
  <si>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</si>
  <si>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</si>
  <si>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</si>
  <si>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</si>
  <si>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</si>
  <si>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</si>
  <si>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</si>
  <si>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</si>
  <si>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</si>
  <si>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</si>
  <si>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</si>
  <si>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</si>
  <si>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</si>
  <si>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</si>
  <si>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</si>
  <si>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</si>
  <si>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</si>
  <si>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</si>
  <si>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</si>
  <si>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</si>
  <si>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</si>
  <si>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</si>
  <si>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</si>
  <si>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</si>
  <si>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</si>
  <si>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</si>
  <si>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</si>
  <si>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</si>
  <si>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</si>
  <si>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</si>
  <si>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</si>
  <si>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</si>
  <si>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</si>
  <si>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</si>
  <si>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</si>
  <si>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</si>
  <si>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</si>
  <si>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</si>
  <si>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</si>
  <si>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</si>
  <si>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</si>
  <si>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</si>
  <si>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</si>
  <si>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</si>
  <si>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</si>
  <si>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Points Scored from Embedded Scoresheet</t>
  </si>
  <si>
    <t>Manual input of Points</t>
  </si>
  <si>
    <t>Section 0 - General</t>
  </si>
  <si>
    <t>Section 1 - Architectural Exterior</t>
  </si>
  <si>
    <t>1.5</t>
  </si>
  <si>
    <t>1.6</t>
  </si>
  <si>
    <t>Section 2 - Architectural Interior &amp; Common Areas</t>
  </si>
  <si>
    <t>Section 3 - Mechanical</t>
  </si>
  <si>
    <t>Section 4 - Electrical</t>
  </si>
  <si>
    <t>Section 5 - Landscape</t>
  </si>
  <si>
    <t>Section 6 - Facilities</t>
  </si>
  <si>
    <t>Section 7 - Smart FM</t>
  </si>
  <si>
    <t>Cybersecurity</t>
  </si>
  <si>
    <t>Bonus Points</t>
  </si>
  <si>
    <t>TOTAL Maintainability Section Points Scored</t>
  </si>
  <si>
    <t>Maintainability Prorated Points</t>
  </si>
  <si>
    <t>Bonus scored</t>
  </si>
  <si>
    <t>TOTAL Maintainability Section Points Scored After Pro-rating</t>
  </si>
  <si>
    <t>w/o Bonus</t>
  </si>
  <si>
    <t>w Bonus</t>
  </si>
  <si>
    <t>Total No. of Pre-Requisites Not Complied</t>
  </si>
  <si>
    <t>Total Number of Green Mark 2021 Points</t>
  </si>
  <si>
    <t>Attained Maintainability Badge?</t>
  </si>
  <si>
    <t>Whole Life carbon assessment consistent with EN 15978 and EN 15804</t>
  </si>
  <si>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</si>
  <si>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t>
    </r>
  </si>
  <si>
    <t>2 points for (a)
1 point for (b)</t>
  </si>
  <si>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</si>
  <si>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</si>
  <si>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r>
      <rPr>
        <b/>
        <sz val="12"/>
        <color theme="1"/>
        <rFont val="Calibri"/>
        <family val="2"/>
        <scheme val="minor"/>
      </rPr>
      <t>Circadian Lighting System</t>
    </r>
    <r>
      <rPr>
        <sz val="12"/>
        <color theme="1"/>
        <rFont val="Calibri"/>
        <family val="2"/>
        <scheme val="minor"/>
      </rPr>
      <t xml:space="preserve">
Colour shift lighting for the management office, outsourced workers rest areas, common lobbies and corridors, function rooms. Landscape and outdoor lighting for low colour temperatures (2700K) where used at night to prevent disturbance to residents sleep</t>
    </r>
  </si>
  <si>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</si>
  <si>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r>
      <t xml:space="preserve">Certification through BCA Universal Design Mark
(A) UDi C Rating
(B) UDi A </t>
    </r>
    <r>
      <rPr>
        <sz val="12"/>
        <color theme="1"/>
        <rFont val="Calibri"/>
        <family val="2"/>
        <scheme val="minor"/>
      </rPr>
      <t xml:space="preserve">or </t>
    </r>
    <r>
      <rPr>
        <i/>
        <sz val="12"/>
        <color theme="1"/>
        <rFont val="Calibri"/>
        <family val="2"/>
        <scheme val="minor"/>
      </rPr>
      <t>B Rating</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</si>
  <si>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</si>
  <si>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</si>
  <si>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</si>
  <si>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</si>
  <si>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 xml:space="preserve">Replacement level of coarse aggregate with CCA </t>
    </r>
    <r>
      <rPr>
        <sz val="12"/>
        <rFont val="Calibri"/>
        <family val="2"/>
      </rPr>
      <t>≥ 20%</t>
    </r>
  </si>
  <si>
    <t>Minimum extent of usage of CCA ≥ 1.5% of GFA</t>
  </si>
  <si>
    <t>0.50 points / tick</t>
  </si>
  <si>
    <t>At least 50% offset of scope 2 emissions offset at vertification stage</t>
  </si>
  <si>
    <t>(Reference values based on A1-A5 emissions for superstructure)</t>
  </si>
  <si>
    <t>(b) &gt;10% Reduction from the reference embodied carbon (for Concrete, Glass and Steel)
(c) &gt;30% Reduction from the reference embodied carbon (for Concrete, Glass and Steel)</t>
  </si>
  <si>
    <t>1 point for (b)
2 points for (c)</t>
  </si>
  <si>
    <t xml:space="preserve">(a) </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</si>
  <si>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(SGCC) hosted at the SGBC website. (Also refer to SGBC Embodied Carbon in Buildings Calculation Guidance)</t>
    </r>
  </si>
  <si>
    <t>CN1.1(ii)</t>
  </si>
  <si>
    <r>
      <t xml:space="preserve">• </t>
    </r>
    <r>
      <rPr>
        <i/>
        <sz val="11"/>
        <rFont val="Calibri"/>
        <family val="2"/>
        <scheme val="minor"/>
      </rPr>
      <t>New building projects that conduct the full scope of WLC assessment will score up to additonal 2 points under the</t>
    </r>
    <r>
      <rPr>
        <b/>
        <i/>
        <sz val="11"/>
        <rFont val="Calibri"/>
        <family val="2"/>
        <scheme val="minor"/>
      </rPr>
      <t xml:space="preserve"> Innovation section. </t>
    </r>
    <r>
      <rPr>
        <i/>
        <sz val="11"/>
        <rFont val="Calibri"/>
        <family val="2"/>
        <scheme val="minor"/>
      </rPr>
      <t xml:space="preserve">
• New building projects scoring under CN1.1(i) will be excluded from scoring under CN 1.1(ii)(a) </t>
    </r>
  </si>
  <si>
    <t>CN1.1(i)</t>
  </si>
  <si>
    <t>BADGE</t>
  </si>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</sst>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5"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sz val="12"/>
      <color theme="0"/>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i/>
      <sz val="11"/>
      <name val="Calibri"/>
      <family val="2"/>
      <scheme val="minor"/>
    </font>
    <font>
      <b/>
      <i/>
      <sz val="11"/>
      <name val="Calibri"/>
      <family val="2"/>
      <scheme val="minor"/>
    </font>
    <font>
      <b/>
      <u/>
      <sz val="16"/>
      <color theme="1"/>
      <name val="Calibri"/>
      <family val="2"/>
      <scheme val="minor"/>
    </font>
    <font>
      <sz val="11"/>
      <color rgb="FF3F3F76"/>
      <name val="Calibri"/>
      <family val="2"/>
      <scheme val="minor"/>
    </font>
    <font>
      <b/>
      <sz val="16"/>
      <color rgb="FF9933FF"/>
      <name val="Calibri"/>
      <family val="2"/>
      <scheme val="minor"/>
    </font>
    <font>
      <b/>
      <sz val="16"/>
      <color rgb="FF7030A0"/>
      <name val="Calibri"/>
      <family val="2"/>
      <scheme val="minor"/>
    </font>
    <font>
      <b/>
      <u/>
      <sz val="16"/>
      <color rgb="FFFFCC99"/>
      <name val="Calibri"/>
      <family val="2"/>
      <scheme val="minor"/>
    </font>
    <font>
      <b/>
      <u/>
      <sz val="16"/>
      <color rgb="FF7030A0"/>
      <name val="Calibri"/>
      <family val="2"/>
      <scheme val="minor"/>
    </font>
    <font>
      <b/>
      <sz val="16"/>
      <color theme="5"/>
      <name val="Calibri"/>
      <family val="2"/>
      <scheme val="minor"/>
    </font>
    <font>
      <b/>
      <u/>
      <sz val="16"/>
      <color rgb="FF9933FF"/>
      <name val="Calibri"/>
      <family val="2"/>
      <scheme val="minor"/>
    </font>
    <font>
      <strike/>
      <sz val="12"/>
      <color theme="1"/>
      <name val="Calibri"/>
      <family val="2"/>
      <scheme val="minor"/>
    </font>
    <font>
      <u/>
      <sz val="12"/>
      <name val="Calibri"/>
      <family val="2"/>
      <scheme val="minor"/>
    </font>
    <font>
      <sz val="12"/>
      <name val="Calibri"/>
      <family val="2"/>
    </font>
    <font>
      <i/>
      <sz val="12"/>
      <name val="Calibri"/>
      <family val="2"/>
      <scheme val="minor"/>
    </font>
    <font>
      <vertAlign val="subscript"/>
      <sz val="12"/>
      <name val="Calibri"/>
      <family val="2"/>
      <scheme val="minor"/>
    </font>
    <font>
      <vertAlign val="superscript"/>
      <sz val="12"/>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CC99"/>
      </patternFill>
    </fill>
    <fill>
      <patternFill patternType="solid">
        <fgColor theme="2"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2" fillId="34" borderId="34" applyNumberFormat="0" applyAlignment="0" applyProtection="0"/>
  </cellStyleXfs>
  <cellXfs count="559">
    <xf numFmtId="0" fontId="0" fillId="0" borderId="0" xfId="0"/>
    <xf numFmtId="0" fontId="4"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11" borderId="1" xfId="0" applyFont="1" applyFill="1" applyBorder="1" applyAlignment="1" applyProtection="1">
      <alignment horizontal="center" vertical="center"/>
      <protection locked="0"/>
    </xf>
    <xf numFmtId="0" fontId="11" fillId="11" borderId="2"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 xfId="1"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1" fillId="8" borderId="1"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0" fillId="0" borderId="0" xfId="0" applyAlignment="1">
      <alignment horizontal="center"/>
    </xf>
    <xf numFmtId="0" fontId="10" fillId="7" borderId="1" xfId="0" applyFont="1" applyFill="1" applyBorder="1" applyAlignment="1">
      <alignment horizontal="left" vertical="center"/>
    </xf>
    <xf numFmtId="0" fontId="30" fillId="7" borderId="1" xfId="0" applyFont="1" applyFill="1" applyBorder="1" applyAlignment="1">
      <alignment horizontal="right" vertical="center"/>
    </xf>
    <xf numFmtId="0" fontId="11" fillId="31" borderId="1" xfId="0" applyFont="1" applyFill="1" applyBorder="1" applyAlignment="1" applyProtection="1">
      <alignment horizontal="center" vertical="center"/>
      <protection locked="0"/>
    </xf>
    <xf numFmtId="0" fontId="0" fillId="0" borderId="0" xfId="0" applyProtection="1">
      <protection locked="0"/>
    </xf>
    <xf numFmtId="0" fontId="0" fillId="0" borderId="1" xfId="0" applyBorder="1" applyProtection="1">
      <protection locked="0"/>
    </xf>
    <xf numFmtId="0" fontId="34" fillId="0" borderId="1" xfId="0" applyFont="1" applyBorder="1" applyAlignment="1" applyProtection="1">
      <alignment horizontal="justify" vertical="center" wrapText="1"/>
      <protection locked="0"/>
    </xf>
    <xf numFmtId="3" fontId="37" fillId="0" borderId="1" xfId="0" applyNumberFormat="1" applyFont="1" applyBorder="1" applyAlignment="1" applyProtection="1">
      <alignment horizontal="justify" vertical="center" wrapText="1"/>
      <protection locked="0"/>
    </xf>
    <xf numFmtId="0" fontId="37" fillId="0" borderId="1" xfId="0" applyFont="1" applyBorder="1" applyAlignment="1" applyProtection="1">
      <alignment vertical="center" wrapText="1"/>
      <protection locked="0"/>
    </xf>
    <xf numFmtId="0" fontId="37" fillId="0" borderId="1" xfId="0" applyFont="1" applyBorder="1" applyAlignment="1" applyProtection="1">
      <alignment horizontal="left" vertical="center" wrapText="1"/>
      <protection locked="0"/>
    </xf>
    <xf numFmtId="2" fontId="38" fillId="0" borderId="1" xfId="0" applyNumberFormat="1" applyFont="1" applyBorder="1" applyAlignment="1" applyProtection="1">
      <alignment horizontal="left" vertical="center" wrapText="1"/>
      <protection locked="0"/>
    </xf>
    <xf numFmtId="165" fontId="37" fillId="0" borderId="1" xfId="0" applyNumberFormat="1" applyFont="1" applyBorder="1" applyAlignment="1" applyProtection="1">
      <alignment horizontal="left" vertical="center" wrapText="1"/>
      <protection locked="0"/>
    </xf>
    <xf numFmtId="164" fontId="37"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3" fillId="0" borderId="0" xfId="0" applyFont="1"/>
    <xf numFmtId="0" fontId="2" fillId="0" borderId="0" xfId="0" applyFont="1"/>
    <xf numFmtId="0" fontId="7" fillId="0" borderId="0" xfId="0" applyFont="1"/>
    <xf numFmtId="0" fontId="8" fillId="3" borderId="1" xfId="0" applyFont="1" applyFill="1" applyBorder="1" applyAlignment="1">
      <alignment horizontal="center" vertical="center"/>
    </xf>
    <xf numFmtId="0" fontId="7" fillId="0" borderId="1" xfId="0" applyFont="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Border="1"/>
    <xf numFmtId="0" fontId="6" fillId="2" borderId="1" xfId="0" applyFont="1" applyFill="1" applyBorder="1" applyAlignment="1">
      <alignment horizontal="center" vertical="center" wrapText="1"/>
    </xf>
    <xf numFmtId="2" fontId="7" fillId="0" borderId="1"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11" fillId="0" borderId="1" xfId="0" applyFont="1" applyBorder="1" applyAlignment="1">
      <alignment horizontal="center" vertical="center"/>
    </xf>
    <xf numFmtId="1" fontId="11" fillId="0" borderId="1" xfId="1" applyNumberFormat="1" applyFont="1" applyBorder="1" applyAlignment="1">
      <alignment horizontal="center" vertical="center" wrapText="1"/>
    </xf>
    <xf numFmtId="1" fontId="11" fillId="31" borderId="1" xfId="1"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4" borderId="1" xfId="0" applyFont="1" applyFill="1" applyBorder="1" applyAlignment="1">
      <alignment horizontal="center" vertical="center"/>
    </xf>
    <xf numFmtId="0" fontId="10" fillId="14" borderId="1" xfId="0" applyFont="1" applyFill="1" applyBorder="1" applyAlignment="1">
      <alignment horizontal="center" vertical="center" wrapText="1"/>
    </xf>
    <xf numFmtId="164" fontId="10" fillId="14"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0" fontId="9" fillId="9" borderId="7" xfId="0" applyFont="1" applyFill="1" applyBorder="1" applyAlignment="1">
      <alignment vertical="center" wrapText="1"/>
    </xf>
    <xf numFmtId="0" fontId="9" fillId="9" borderId="5" xfId="0" applyFont="1" applyFill="1" applyBorder="1" applyAlignment="1">
      <alignment vertical="center" wrapText="1"/>
    </xf>
    <xf numFmtId="0" fontId="9" fillId="9" borderId="5" xfId="0" applyFont="1" applyFill="1" applyBorder="1" applyAlignment="1">
      <alignment horizontal="left" vertical="center" wrapText="1"/>
    </xf>
    <xf numFmtId="0" fontId="4" fillId="9" borderId="5" xfId="0" applyFont="1" applyFill="1" applyBorder="1" applyAlignment="1">
      <alignment vertical="center"/>
    </xf>
    <xf numFmtId="164" fontId="4" fillId="9" borderId="5" xfId="0" applyNumberFormat="1" applyFont="1" applyFill="1" applyBorder="1" applyAlignment="1">
      <alignment vertical="center"/>
    </xf>
    <xf numFmtId="0" fontId="4" fillId="9" borderId="6" xfId="0" applyFont="1" applyFill="1" applyBorder="1" applyAlignment="1">
      <alignment vertical="center"/>
    </xf>
    <xf numFmtId="0" fontId="5" fillId="10" borderId="1" xfId="0" applyFont="1" applyFill="1" applyBorder="1" applyAlignment="1">
      <alignment horizontal="center" vertical="center"/>
    </xf>
    <xf numFmtId="0" fontId="11" fillId="10" borderId="1" xfId="0" applyFont="1" applyFill="1" applyBorder="1" applyAlignment="1">
      <alignment vertical="center" wrapText="1"/>
    </xf>
    <xf numFmtId="0" fontId="11" fillId="10" borderId="6" xfId="0" applyFont="1" applyFill="1" applyBorder="1" applyAlignment="1">
      <alignment vertical="center" wrapText="1"/>
    </xf>
    <xf numFmtId="0" fontId="11" fillId="10" borderId="8" xfId="0" applyFont="1" applyFill="1" applyBorder="1" applyAlignment="1">
      <alignment horizontal="left" vertical="center" wrapText="1"/>
    </xf>
    <xf numFmtId="0" fontId="5" fillId="10" borderId="1" xfId="1" applyFont="1" applyFill="1" applyBorder="1" applyAlignment="1">
      <alignment horizontal="center" vertical="center"/>
    </xf>
    <xf numFmtId="164" fontId="4" fillId="10" borderId="1" xfId="0" applyNumberFormat="1" applyFont="1" applyFill="1" applyBorder="1" applyAlignment="1">
      <alignment vertical="center"/>
    </xf>
    <xf numFmtId="0" fontId="4" fillId="10" borderId="1" xfId="0" applyFont="1" applyFill="1" applyBorder="1" applyAlignment="1">
      <alignment vertical="center"/>
    </xf>
    <xf numFmtId="164" fontId="11" fillId="0" borderId="1" xfId="0" applyNumberFormat="1" applyFont="1" applyBorder="1" applyAlignment="1">
      <alignment horizontal="center" vertical="center" wrapText="1"/>
    </xf>
    <xf numFmtId="0" fontId="4" fillId="12" borderId="1" xfId="0" applyFont="1" applyFill="1" applyBorder="1" applyAlignment="1">
      <alignment horizontal="center" vertical="center"/>
    </xf>
    <xf numFmtId="164" fontId="11" fillId="12" borderId="2" xfId="0" applyNumberFormat="1" applyFont="1" applyFill="1" applyBorder="1" applyAlignment="1">
      <alignment horizontal="center" vertical="center" wrapText="1"/>
    </xf>
    <xf numFmtId="0" fontId="4" fillId="12" borderId="1" xfId="0" applyFont="1" applyFill="1" applyBorder="1" applyAlignment="1">
      <alignment vertical="center"/>
    </xf>
    <xf numFmtId="49" fontId="5" fillId="10" borderId="1" xfId="1" applyNumberFormat="1" applyFont="1" applyFill="1" applyBorder="1" applyAlignment="1">
      <alignment horizontal="center" vertical="center"/>
    </xf>
    <xf numFmtId="0" fontId="5" fillId="10" borderId="1" xfId="1" applyFont="1" applyFill="1" applyBorder="1" applyAlignment="1">
      <alignment vertical="center" wrapText="1"/>
    </xf>
    <xf numFmtId="0" fontId="5" fillId="10" borderId="6" xfId="1" applyFont="1" applyFill="1" applyBorder="1" applyAlignment="1">
      <alignment vertical="center" wrapText="1"/>
    </xf>
    <xf numFmtId="0" fontId="5" fillId="10" borderId="6" xfId="1" applyFont="1" applyFill="1" applyBorder="1" applyAlignment="1">
      <alignment horizontal="left" vertical="center" wrapText="1"/>
    </xf>
    <xf numFmtId="0" fontId="4" fillId="13" borderId="7" xfId="1" applyFont="1" applyFill="1" applyBorder="1" applyAlignment="1">
      <alignment vertical="center" wrapText="1"/>
    </xf>
    <xf numFmtId="0" fontId="4" fillId="33" borderId="1" xfId="1" applyFont="1" applyFill="1" applyBorder="1" applyAlignment="1">
      <alignment vertical="center" wrapText="1"/>
    </xf>
    <xf numFmtId="0" fontId="4" fillId="0" borderId="1" xfId="1" applyFont="1" applyBorder="1" applyAlignment="1">
      <alignment vertical="center" wrapText="1"/>
    </xf>
    <xf numFmtId="0" fontId="4" fillId="13" borderId="1" xfId="1" applyFont="1" applyFill="1" applyBorder="1" applyAlignment="1">
      <alignment vertical="center" wrapText="1"/>
    </xf>
    <xf numFmtId="0" fontId="4" fillId="0" borderId="7" xfId="1" applyFont="1" applyBorder="1" applyAlignment="1">
      <alignment vertical="center" wrapText="1"/>
    </xf>
    <xf numFmtId="0" fontId="4" fillId="3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1" applyFont="1" applyBorder="1" applyAlignment="1">
      <alignment horizontal="center" vertical="center"/>
    </xf>
    <xf numFmtId="49" fontId="4" fillId="12" borderId="3" xfId="1" applyNumberFormat="1" applyFont="1" applyFill="1" applyBorder="1" applyAlignment="1">
      <alignment horizontal="center" vertical="center"/>
    </xf>
    <xf numFmtId="0" fontId="4" fillId="12" borderId="8" xfId="0" applyFont="1" applyFill="1" applyBorder="1" applyAlignment="1">
      <alignment horizontal="center" vertical="center"/>
    </xf>
    <xf numFmtId="0" fontId="5" fillId="9" borderId="11" xfId="0" applyFont="1" applyFill="1" applyBorder="1" applyAlignment="1">
      <alignment vertical="center"/>
    </xf>
    <xf numFmtId="0" fontId="5" fillId="9" borderId="5" xfId="0" applyFont="1" applyFill="1" applyBorder="1" applyAlignment="1">
      <alignment vertical="center"/>
    </xf>
    <xf numFmtId="0" fontId="5" fillId="9" borderId="5" xfId="0" applyFont="1" applyFill="1" applyBorder="1" applyAlignment="1">
      <alignment horizontal="left" vertical="center"/>
    </xf>
    <xf numFmtId="0" fontId="5" fillId="9" borderId="12"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5" fillId="10" borderId="1" xfId="0" applyFont="1" applyFill="1" applyBorder="1" applyAlignment="1">
      <alignment vertical="center" wrapText="1"/>
    </xf>
    <xf numFmtId="0" fontId="5" fillId="10" borderId="8" xfId="0" applyFont="1" applyFill="1" applyBorder="1" applyAlignment="1">
      <alignment vertical="center" wrapText="1"/>
    </xf>
    <xf numFmtId="0" fontId="5" fillId="10" borderId="8" xfId="0" applyFont="1" applyFill="1" applyBorder="1" applyAlignment="1">
      <alignment horizontal="left" vertical="center" wrapText="1"/>
    </xf>
    <xf numFmtId="0" fontId="4" fillId="10" borderId="7" xfId="0" applyFont="1" applyFill="1" applyBorder="1" applyAlignment="1">
      <alignment vertical="center"/>
    </xf>
    <xf numFmtId="0" fontId="4" fillId="0" borderId="1" xfId="0" applyFont="1" applyBorder="1" applyAlignment="1">
      <alignment horizontal="justify" vertical="center" wrapText="1"/>
    </xf>
    <xf numFmtId="0" fontId="4" fillId="12" borderId="0" xfId="0" applyFont="1" applyFill="1" applyAlignment="1">
      <alignment vertical="center"/>
    </xf>
    <xf numFmtId="0" fontId="4" fillId="12" borderId="6" xfId="0" applyFont="1" applyFill="1" applyBorder="1" applyAlignment="1">
      <alignment vertical="center"/>
    </xf>
    <xf numFmtId="0" fontId="5" fillId="10" borderId="6" xfId="0" applyFont="1" applyFill="1" applyBorder="1" applyAlignment="1">
      <alignment vertical="center" wrapText="1"/>
    </xf>
    <xf numFmtId="0" fontId="5" fillId="10" borderId="6" xfId="0" applyFont="1" applyFill="1" applyBorder="1" applyAlignment="1">
      <alignment horizontal="left" vertical="center" wrapText="1"/>
    </xf>
    <xf numFmtId="0" fontId="4" fillId="0" borderId="3" xfId="0" applyFont="1" applyBorder="1" applyAlignment="1">
      <alignment vertical="center" wrapText="1"/>
    </xf>
    <xf numFmtId="0" fontId="4" fillId="13" borderId="2" xfId="1" applyFont="1" applyFill="1" applyBorder="1" applyAlignment="1">
      <alignment horizontal="center" vertical="center" wrapText="1"/>
    </xf>
    <xf numFmtId="164" fontId="11" fillId="0" borderId="13" xfId="0" applyNumberFormat="1" applyFont="1" applyBorder="1" applyAlignment="1">
      <alignment horizontal="center" vertical="center" wrapText="1"/>
    </xf>
    <xf numFmtId="164" fontId="11" fillId="12" borderId="1" xfId="0" applyNumberFormat="1" applyFont="1" applyFill="1" applyBorder="1" applyAlignment="1">
      <alignment horizontal="center" vertical="center" wrapText="1"/>
    </xf>
    <xf numFmtId="0" fontId="5" fillId="9" borderId="12" xfId="0" applyFont="1" applyFill="1" applyBorder="1" applyAlignment="1">
      <alignment vertical="center"/>
    </xf>
    <xf numFmtId="0" fontId="5" fillId="9" borderId="12" xfId="0" applyFont="1" applyFill="1" applyBorder="1" applyAlignment="1">
      <alignment horizontal="left" vertical="center"/>
    </xf>
    <xf numFmtId="0" fontId="4" fillId="10" borderId="11" xfId="0" applyFont="1" applyFill="1" applyBorder="1" applyAlignment="1">
      <alignment vertical="center"/>
    </xf>
    <xf numFmtId="0" fontId="4" fillId="10" borderId="6" xfId="0" applyFont="1" applyFill="1" applyBorder="1" applyAlignment="1">
      <alignment vertical="center"/>
    </xf>
    <xf numFmtId="0" fontId="10" fillId="14" borderId="9" xfId="0" applyFont="1" applyFill="1" applyBorder="1" applyAlignment="1">
      <alignment horizontal="center" vertical="center"/>
    </xf>
    <xf numFmtId="164" fontId="10" fillId="14" borderId="9" xfId="0" applyNumberFormat="1" applyFont="1" applyFill="1" applyBorder="1" applyAlignment="1">
      <alignment horizontal="center" vertical="center"/>
    </xf>
    <xf numFmtId="0" fontId="5" fillId="14" borderId="9" xfId="0" applyFont="1" applyFill="1" applyBorder="1" applyAlignment="1">
      <alignment horizontal="center" vertical="center"/>
    </xf>
    <xf numFmtId="0" fontId="5" fillId="9" borderId="1" xfId="2" applyFont="1" applyFill="1" applyBorder="1" applyAlignment="1">
      <alignment horizontal="center" vertical="center"/>
    </xf>
    <xf numFmtId="0" fontId="5" fillId="9" borderId="5" xfId="2" applyFont="1" applyFill="1" applyBorder="1" applyAlignment="1">
      <alignment horizontal="left" vertical="center"/>
    </xf>
    <xf numFmtId="0" fontId="5" fillId="9" borderId="7" xfId="2" applyFont="1" applyFill="1" applyBorder="1" applyAlignment="1">
      <alignment horizontal="center" vertical="center" wrapText="1"/>
    </xf>
    <xf numFmtId="0" fontId="5" fillId="9" borderId="5" xfId="2" applyFont="1" applyFill="1" applyBorder="1" applyAlignment="1">
      <alignment horizontal="center" vertical="center" wrapText="1"/>
    </xf>
    <xf numFmtId="0" fontId="5" fillId="10" borderId="1" xfId="2" applyFont="1" applyFill="1" applyBorder="1" applyAlignment="1">
      <alignment horizontal="center" vertical="center"/>
    </xf>
    <xf numFmtId="0" fontId="5" fillId="10" borderId="1" xfId="2" applyFont="1" applyFill="1" applyBorder="1" applyAlignment="1">
      <alignment vertical="center" wrapText="1"/>
    </xf>
    <xf numFmtId="0" fontId="5" fillId="10" borderId="3" xfId="2" applyFont="1" applyFill="1" applyBorder="1" applyAlignment="1">
      <alignment vertical="center" wrapText="1"/>
    </xf>
    <xf numFmtId="0" fontId="4" fillId="10" borderId="3" xfId="2" applyFont="1" applyFill="1" applyBorder="1" applyAlignment="1">
      <alignment horizontal="center" vertical="center" wrapText="1"/>
    </xf>
    <xf numFmtId="0" fontId="4" fillId="10" borderId="3" xfId="0" applyFont="1" applyFill="1" applyBorder="1" applyAlignment="1">
      <alignment vertical="center"/>
    </xf>
    <xf numFmtId="0" fontId="4" fillId="0" borderId="7" xfId="2" applyFont="1" applyBorder="1" applyAlignment="1">
      <alignment vertical="center" wrapText="1"/>
    </xf>
    <xf numFmtId="0" fontId="4" fillId="33" borderId="1" xfId="2" applyFont="1" applyFill="1" applyBorder="1" applyAlignment="1">
      <alignment vertical="center" wrapText="1"/>
    </xf>
    <xf numFmtId="0" fontId="4" fillId="0" borderId="1" xfId="2" applyFont="1" applyBorder="1" applyAlignment="1">
      <alignment vertical="center" wrapText="1"/>
    </xf>
    <xf numFmtId="164" fontId="4" fillId="0" borderId="1" xfId="2" applyNumberFormat="1"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xf>
    <xf numFmtId="0" fontId="4" fillId="0" borderId="7" xfId="2" applyFont="1" applyBorder="1" applyAlignment="1">
      <alignment horizontal="center" vertical="center" wrapText="1"/>
    </xf>
    <xf numFmtId="0" fontId="15" fillId="15" borderId="1" xfId="0" applyFont="1" applyFill="1" applyBorder="1" applyAlignment="1">
      <alignment horizontal="center" vertical="center" wrapText="1"/>
    </xf>
    <xf numFmtId="0" fontId="4"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0" fontId="5" fillId="10"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0" borderId="1" xfId="2" applyFont="1" applyBorder="1" applyAlignment="1">
      <alignment horizontal="justify" vertical="center" wrapText="1"/>
    </xf>
    <xf numFmtId="0" fontId="4" fillId="12" borderId="9" xfId="0" applyFont="1" applyFill="1" applyBorder="1" applyAlignment="1">
      <alignment vertical="center"/>
    </xf>
    <xf numFmtId="0" fontId="5" fillId="9" borderId="1" xfId="2" applyFont="1" applyFill="1" applyBorder="1" applyAlignment="1">
      <alignment vertical="center"/>
    </xf>
    <xf numFmtId="0" fontId="5" fillId="9" borderId="6" xfId="2" applyFont="1" applyFill="1" applyBorder="1" applyAlignment="1">
      <alignment vertical="center"/>
    </xf>
    <xf numFmtId="0" fontId="11" fillId="10"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164" fontId="11" fillId="0" borderId="2" xfId="0" applyNumberFormat="1" applyFont="1" applyBorder="1" applyAlignment="1">
      <alignment horizontal="center" vertical="center" wrapText="1"/>
    </xf>
    <xf numFmtId="0" fontId="5" fillId="10" borderId="3" xfId="2" applyFont="1" applyFill="1" applyBorder="1" applyAlignment="1">
      <alignment horizontal="center" vertical="center"/>
    </xf>
    <xf numFmtId="0" fontId="5" fillId="10" borderId="3" xfId="2" applyFont="1" applyFill="1" applyBorder="1" applyAlignment="1">
      <alignment horizontal="justify" vertical="center" wrapText="1"/>
    </xf>
    <xf numFmtId="0" fontId="5" fillId="10" borderId="3" xfId="2" applyFont="1" applyFill="1" applyBorder="1" applyAlignment="1">
      <alignment horizontal="center" vertical="center" wrapText="1"/>
    </xf>
    <xf numFmtId="0" fontId="4" fillId="0" borderId="1" xfId="2" quotePrefix="1" applyFont="1" applyBorder="1" applyAlignment="1">
      <alignment horizontal="justify" vertical="center" wrapText="1"/>
    </xf>
    <xf numFmtId="164" fontId="4" fillId="0" borderId="1" xfId="0" applyNumberFormat="1" applyFont="1" applyBorder="1" applyAlignment="1">
      <alignment horizontal="center" vertical="center" wrapText="1"/>
    </xf>
    <xf numFmtId="0" fontId="4" fillId="9" borderId="5" xfId="2" applyFont="1" applyFill="1" applyBorder="1" applyAlignment="1">
      <alignment horizontal="center" vertical="center"/>
    </xf>
    <xf numFmtId="0" fontId="4" fillId="10" borderId="3" xfId="2" applyFont="1" applyFill="1" applyBorder="1" applyAlignment="1">
      <alignment horizontal="center" vertical="center"/>
    </xf>
    <xf numFmtId="0" fontId="4" fillId="10" borderId="3" xfId="2" applyFont="1" applyFill="1" applyBorder="1" applyAlignment="1">
      <alignment vertical="center" wrapText="1"/>
    </xf>
    <xf numFmtId="0" fontId="4" fillId="10" borderId="1" xfId="2" applyFont="1" applyFill="1" applyBorder="1" applyAlignment="1">
      <alignment horizontal="center" vertical="center"/>
    </xf>
    <xf numFmtId="0" fontId="4" fillId="10" borderId="1" xfId="2" applyFont="1" applyFill="1" applyBorder="1" applyAlignment="1">
      <alignment vertical="center" wrapText="1"/>
    </xf>
    <xf numFmtId="0" fontId="11" fillId="10" borderId="1" xfId="2" applyFont="1" applyFill="1" applyBorder="1" applyAlignment="1">
      <alignment horizontal="justify" vertical="center" wrapText="1"/>
    </xf>
    <xf numFmtId="0" fontId="11" fillId="0" borderId="1" xfId="0" applyFont="1" applyBorder="1" applyAlignment="1">
      <alignment horizontal="center" vertical="center" wrapText="1"/>
    </xf>
    <xf numFmtId="1" fontId="11" fillId="11" borderId="1" xfId="1" applyNumberFormat="1" applyFont="1" applyFill="1" applyBorder="1" applyAlignment="1" applyProtection="1">
      <alignment horizontal="center" vertical="center" wrapText="1"/>
      <protection locked="0"/>
    </xf>
    <xf numFmtId="0" fontId="4" fillId="0" borderId="1"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11" fillId="11"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1"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6" borderId="1" xfId="0" applyFont="1" applyFill="1" applyBorder="1" applyAlignment="1">
      <alignment horizontal="center" vertical="center"/>
    </xf>
    <xf numFmtId="164" fontId="10" fillId="16" borderId="5" xfId="0" applyNumberFormat="1" applyFont="1" applyFill="1" applyBorder="1" applyAlignment="1">
      <alignment horizontal="center" vertical="center"/>
    </xf>
    <xf numFmtId="0" fontId="10" fillId="16" borderId="6" xfId="0" applyFont="1" applyFill="1" applyBorder="1" applyAlignment="1">
      <alignment vertical="center"/>
    </xf>
    <xf numFmtId="0" fontId="10" fillId="20" borderId="1" xfId="0" applyFont="1" applyFill="1" applyBorder="1" applyAlignment="1">
      <alignment horizontal="center" vertical="top"/>
    </xf>
    <xf numFmtId="0" fontId="10" fillId="20" borderId="1" xfId="0" applyFont="1" applyFill="1" applyBorder="1" applyAlignment="1">
      <alignment horizontal="center" vertical="center"/>
    </xf>
    <xf numFmtId="164" fontId="10" fillId="20" borderId="1" xfId="0" applyNumberFormat="1" applyFont="1" applyFill="1" applyBorder="1" applyAlignment="1">
      <alignment horizontal="center" vertical="top"/>
    </xf>
    <xf numFmtId="164" fontId="4" fillId="0" borderId="1" xfId="0" applyNumberFormat="1" applyFont="1" applyBorder="1" applyAlignment="1">
      <alignment horizontal="center" vertical="top"/>
    </xf>
    <xf numFmtId="0" fontId="5" fillId="19" borderId="1" xfId="0" applyFont="1" applyFill="1" applyBorder="1" applyAlignment="1">
      <alignment horizontal="center" vertical="top"/>
    </xf>
    <xf numFmtId="0" fontId="5" fillId="19" borderId="1" xfId="0" applyFont="1" applyFill="1" applyBorder="1" applyAlignment="1">
      <alignment horizontal="center" vertical="center"/>
    </xf>
    <xf numFmtId="164" fontId="5" fillId="19" borderId="1" xfId="0" applyNumberFormat="1" applyFont="1" applyFill="1" applyBorder="1" applyAlignment="1">
      <alignment horizontal="center" vertical="top"/>
    </xf>
    <xf numFmtId="0" fontId="4" fillId="0" borderId="19" xfId="0" applyFont="1" applyBorder="1" applyAlignment="1">
      <alignment horizontal="left" vertical="top"/>
    </xf>
    <xf numFmtId="0" fontId="4" fillId="0" borderId="21" xfId="0" applyFont="1" applyBorder="1" applyAlignment="1">
      <alignment vertical="top"/>
    </xf>
    <xf numFmtId="0" fontId="4" fillId="5" borderId="1" xfId="2" applyFont="1" applyFill="1" applyBorder="1" applyAlignment="1">
      <alignment horizontal="center" vertical="center"/>
    </xf>
    <xf numFmtId="164" fontId="5" fillId="5" borderId="1" xfId="0" applyNumberFormat="1" applyFont="1" applyFill="1" applyBorder="1" applyAlignment="1">
      <alignment horizontal="center" vertical="top"/>
    </xf>
    <xf numFmtId="0" fontId="4" fillId="5" borderId="1" xfId="0" applyFont="1" applyFill="1" applyBorder="1" applyAlignment="1">
      <alignment horizontal="center" vertical="top"/>
    </xf>
    <xf numFmtId="0" fontId="4" fillId="18" borderId="16" xfId="0" applyFont="1" applyFill="1" applyBorder="1" applyAlignment="1">
      <alignment vertical="top"/>
    </xf>
    <xf numFmtId="0" fontId="5" fillId="18"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164" fontId="10" fillId="16" borderId="6" xfId="0" applyNumberFormat="1" applyFont="1" applyFill="1" applyBorder="1" applyAlignment="1">
      <alignment horizontal="center" vertical="center"/>
    </xf>
    <xf numFmtId="0" fontId="4" fillId="19" borderId="1" xfId="0" applyFont="1" applyFill="1" applyBorder="1" applyAlignment="1">
      <alignment vertical="center"/>
    </xf>
    <xf numFmtId="0" fontId="4" fillId="19" borderId="1" xfId="0" applyFont="1" applyFill="1" applyBorder="1" applyAlignment="1">
      <alignment horizontal="center" vertical="center"/>
    </xf>
    <xf numFmtId="0" fontId="5" fillId="19" borderId="1" xfId="0" applyFont="1" applyFill="1" applyBorder="1" applyAlignment="1">
      <alignment vertical="center"/>
    </xf>
    <xf numFmtId="0" fontId="0" fillId="19" borderId="1" xfId="0" applyFill="1" applyBorder="1"/>
    <xf numFmtId="164" fontId="4" fillId="19" borderId="1" xfId="0" applyNumberFormat="1" applyFont="1" applyFill="1" applyBorder="1" applyAlignment="1">
      <alignment vertical="center"/>
    </xf>
    <xf numFmtId="0" fontId="5" fillId="0" borderId="1" xfId="0" applyFont="1" applyBorder="1" applyAlignment="1">
      <alignment vertical="center"/>
    </xf>
    <xf numFmtId="164" fontId="4" fillId="0" borderId="1" xfId="0" applyNumberFormat="1" applyFont="1" applyBorder="1" applyAlignment="1">
      <alignment vertical="center"/>
    </xf>
    <xf numFmtId="0" fontId="5" fillId="18" borderId="17" xfId="0" applyFont="1" applyFill="1" applyBorder="1" applyAlignment="1">
      <alignment horizontal="left" vertical="top" wrapText="1"/>
    </xf>
    <xf numFmtId="0" fontId="21" fillId="0" borderId="21" xfId="0" applyFont="1" applyBorder="1" applyAlignment="1">
      <alignment horizontal="center" vertical="top"/>
    </xf>
    <xf numFmtId="2" fontId="5" fillId="0" borderId="1" xfId="0" applyNumberFormat="1" applyFont="1" applyBorder="1" applyAlignment="1">
      <alignment horizontal="center" vertical="center"/>
    </xf>
    <xf numFmtId="0" fontId="5" fillId="0" borderId="1" xfId="0" applyFont="1" applyBorder="1" applyAlignment="1">
      <alignment vertical="center" wrapText="1"/>
    </xf>
    <xf numFmtId="164" fontId="4" fillId="0" borderId="1" xfId="0" applyNumberFormat="1" applyFont="1" applyBorder="1" applyAlignment="1">
      <alignment vertical="center" wrapText="1"/>
    </xf>
    <xf numFmtId="0" fontId="10" fillId="20" borderId="2" xfId="0" applyFont="1" applyFill="1" applyBorder="1" applyAlignment="1">
      <alignment horizontal="center" vertical="top"/>
    </xf>
    <xf numFmtId="164" fontId="5" fillId="0" borderId="1" xfId="0" applyNumberFormat="1" applyFont="1" applyBorder="1" applyAlignment="1">
      <alignment horizontal="center" vertical="center" wrapText="1"/>
    </xf>
    <xf numFmtId="0" fontId="4" fillId="5" borderId="3" xfId="2" applyFont="1" applyFill="1" applyBorder="1" applyAlignment="1">
      <alignment horizontal="center" vertical="center"/>
    </xf>
    <xf numFmtId="0" fontId="10" fillId="16" borderId="5" xfId="0" applyFont="1" applyFill="1" applyBorder="1" applyAlignment="1">
      <alignment horizontal="center" vertical="center"/>
    </xf>
    <xf numFmtId="0" fontId="4" fillId="0" borderId="10" xfId="0" applyFont="1" applyBorder="1" applyAlignment="1">
      <alignment horizontal="center" vertical="top"/>
    </xf>
    <xf numFmtId="0" fontId="0" fillId="33" borderId="1" xfId="0" applyFill="1" applyBorder="1" applyAlignment="1">
      <alignment horizontal="center" vertical="center"/>
    </xf>
    <xf numFmtId="0" fontId="10" fillId="20" borderId="1" xfId="0" applyFont="1" applyFill="1" applyBorder="1" applyAlignment="1">
      <alignment horizontal="center" vertical="center" wrapText="1"/>
    </xf>
    <xf numFmtId="0" fontId="4" fillId="17"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top"/>
      <protection locked="0"/>
    </xf>
    <xf numFmtId="0" fontId="18" fillId="5" borderId="1" xfId="0" applyFont="1" applyFill="1" applyBorder="1" applyAlignment="1">
      <alignment horizontal="center" vertical="center" wrapText="1"/>
    </xf>
    <xf numFmtId="164" fontId="18" fillId="5" borderId="1" xfId="0" applyNumberFormat="1"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3" borderId="1" xfId="0" applyFont="1" applyFill="1" applyBorder="1" applyAlignment="1">
      <alignment horizontal="center" vertical="center"/>
    </xf>
    <xf numFmtId="0" fontId="11" fillId="23" borderId="5" xfId="0" applyFont="1" applyFill="1" applyBorder="1" applyAlignment="1">
      <alignment horizontal="center" vertical="center"/>
    </xf>
    <xf numFmtId="164" fontId="11" fillId="23" borderId="5" xfId="0" applyNumberFormat="1" applyFont="1" applyFill="1" applyBorder="1" applyAlignment="1">
      <alignment horizontal="center" vertical="center"/>
    </xf>
    <xf numFmtId="0" fontId="11" fillId="23" borderId="6" xfId="0" applyFont="1" applyFill="1" applyBorder="1" applyAlignment="1">
      <alignment vertical="center"/>
    </xf>
    <xf numFmtId="0" fontId="11" fillId="21" borderId="1" xfId="0" applyFont="1" applyFill="1" applyBorder="1" applyAlignment="1">
      <alignment horizontal="center" vertical="top"/>
    </xf>
    <xf numFmtId="0" fontId="11" fillId="21" borderId="1" xfId="0" applyFont="1" applyFill="1" applyBorder="1" applyAlignment="1">
      <alignment horizontal="center" vertical="center"/>
    </xf>
    <xf numFmtId="164" fontId="11" fillId="21" borderId="1" xfId="0" applyNumberFormat="1" applyFont="1" applyFill="1" applyBorder="1" applyAlignment="1">
      <alignment horizontal="center" vertical="center"/>
    </xf>
    <xf numFmtId="0" fontId="11" fillId="22" borderId="1" xfId="0" applyFont="1" applyFill="1" applyBorder="1" applyAlignment="1">
      <alignment horizontal="center" vertical="top"/>
    </xf>
    <xf numFmtId="0" fontId="12" fillId="22" borderId="1" xfId="0" applyFont="1" applyFill="1" applyBorder="1" applyAlignment="1">
      <alignment horizontal="center" vertical="center"/>
    </xf>
    <xf numFmtId="0" fontId="12" fillId="22" borderId="1" xfId="0" applyFont="1" applyFill="1" applyBorder="1" applyAlignment="1">
      <alignment horizontal="center" vertical="top"/>
    </xf>
    <xf numFmtId="164" fontId="11" fillId="22" borderId="1" xfId="0" applyNumberFormat="1" applyFont="1" applyFill="1" applyBorder="1" applyAlignment="1">
      <alignment horizontal="center" vertical="center"/>
    </xf>
    <xf numFmtId="164" fontId="5" fillId="24" borderId="1" xfId="0" applyNumberFormat="1" applyFont="1" applyFill="1" applyBorder="1" applyAlignment="1">
      <alignment horizontal="center" vertical="center"/>
    </xf>
    <xf numFmtId="0" fontId="4" fillId="24" borderId="1" xfId="0" applyFont="1" applyFill="1" applyBorder="1" applyAlignment="1">
      <alignment vertical="top"/>
    </xf>
    <xf numFmtId="0" fontId="24" fillId="0" borderId="18" xfId="0" applyFont="1" applyBorder="1" applyAlignment="1">
      <alignment horizontal="left" vertical="center" wrapText="1"/>
    </xf>
    <xf numFmtId="0" fontId="25" fillId="0" borderId="19" xfId="0" applyFont="1" applyBorder="1" applyAlignment="1">
      <alignment vertical="top" wrapText="1"/>
    </xf>
    <xf numFmtId="0" fontId="24" fillId="0" borderId="18" xfId="0" applyFont="1" applyBorder="1" applyAlignment="1">
      <alignment vertical="center" wrapText="1"/>
    </xf>
    <xf numFmtId="0" fontId="11" fillId="21" borderId="6" xfId="0" applyFont="1" applyFill="1" applyBorder="1" applyAlignment="1">
      <alignment horizontal="center" vertical="top"/>
    </xf>
    <xf numFmtId="0" fontId="11" fillId="22" borderId="6" xfId="0" applyFont="1" applyFill="1" applyBorder="1" applyAlignment="1">
      <alignment horizontal="center" vertical="top"/>
    </xf>
    <xf numFmtId="0" fontId="5" fillId="0" borderId="6" xfId="0" applyFont="1" applyBorder="1" applyAlignment="1">
      <alignment horizontal="center" vertical="center" wrapText="1"/>
    </xf>
    <xf numFmtId="0" fontId="5" fillId="33" borderId="1" xfId="0" applyFont="1" applyFill="1" applyBorder="1" applyAlignment="1">
      <alignment horizontal="center" vertical="center" wrapText="1"/>
    </xf>
    <xf numFmtId="164" fontId="11" fillId="23" borderId="1" xfId="0" applyNumberFormat="1" applyFont="1" applyFill="1" applyBorder="1" applyAlignment="1">
      <alignment horizontal="center" vertical="center"/>
    </xf>
    <xf numFmtId="0" fontId="11" fillId="23" borderId="1" xfId="0" applyFont="1" applyFill="1" applyBorder="1" applyAlignment="1">
      <alignment vertical="center"/>
    </xf>
    <xf numFmtId="0" fontId="11" fillId="0" borderId="1" xfId="0" applyFont="1" applyBorder="1" applyAlignment="1">
      <alignment horizontal="center" vertical="top"/>
    </xf>
    <xf numFmtId="0" fontId="11" fillId="22" borderId="1" xfId="0" applyFont="1" applyFill="1" applyBorder="1" applyAlignment="1">
      <alignment horizontal="center" vertical="center"/>
    </xf>
    <xf numFmtId="0" fontId="11" fillId="22" borderId="1" xfId="0" applyFont="1" applyFill="1" applyBorder="1" applyAlignment="1">
      <alignment horizontal="center" vertical="center" wrapText="1"/>
    </xf>
    <xf numFmtId="0" fontId="4" fillId="0" borderId="1" xfId="0" applyFont="1" applyBorder="1" applyAlignment="1" applyProtection="1">
      <alignment vertical="top"/>
      <protection locked="0"/>
    </xf>
    <xf numFmtId="0" fontId="4" fillId="0" borderId="1" xfId="0" applyFont="1" applyBorder="1" applyAlignment="1" applyProtection="1">
      <alignment vertical="center" wrapText="1"/>
      <protection locked="0"/>
    </xf>
    <xf numFmtId="0" fontId="14"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6" borderId="1" xfId="0" applyFont="1" applyFill="1" applyBorder="1" applyAlignment="1">
      <alignment horizontal="center" vertical="center"/>
    </xf>
    <xf numFmtId="0" fontId="11" fillId="26" borderId="1" xfId="0" applyFont="1" applyFill="1" applyBorder="1" applyAlignment="1">
      <alignment horizontal="center" vertical="center" wrapText="1"/>
    </xf>
    <xf numFmtId="164" fontId="11" fillId="26" borderId="1"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9" fillId="25" borderId="1" xfId="0" applyFont="1" applyFill="1" applyBorder="1" applyAlignment="1">
      <alignment vertical="center" wrapText="1"/>
    </xf>
    <xf numFmtId="0" fontId="9" fillId="25" borderId="1" xfId="0" applyFont="1" applyFill="1" applyBorder="1" applyAlignment="1">
      <alignment horizontal="left" vertical="center" wrapText="1"/>
    </xf>
    <xf numFmtId="0" fontId="4" fillId="25" borderId="1" xfId="0" applyFont="1" applyFill="1" applyBorder="1" applyAlignment="1">
      <alignment vertical="center"/>
    </xf>
    <xf numFmtId="164" fontId="4" fillId="25" borderId="1" xfId="0" applyNumberFormat="1" applyFont="1" applyFill="1" applyBorder="1" applyAlignment="1">
      <alignment vertical="center"/>
    </xf>
    <xf numFmtId="0" fontId="11" fillId="33" borderId="1" xfId="0" applyFont="1" applyFill="1" applyBorder="1" applyAlignment="1">
      <alignment horizontal="center" vertical="center"/>
    </xf>
    <xf numFmtId="0" fontId="4" fillId="15" borderId="1" xfId="0" applyFont="1" applyFill="1" applyBorder="1" applyAlignment="1">
      <alignment horizontal="center" vertical="center"/>
    </xf>
    <xf numFmtId="164" fontId="11" fillId="15" borderId="1" xfId="0" applyNumberFormat="1" applyFont="1" applyFill="1" applyBorder="1" applyAlignment="1">
      <alignment horizontal="center" vertical="center" wrapText="1"/>
    </xf>
    <xf numFmtId="0" fontId="4" fillId="15" borderId="1" xfId="0" applyFont="1" applyFill="1" applyBorder="1" applyAlignment="1">
      <alignment vertical="center"/>
    </xf>
    <xf numFmtId="0" fontId="4" fillId="13" borderId="1" xfId="1" applyFont="1" applyFill="1" applyBorder="1" applyAlignment="1">
      <alignment horizontal="center" vertical="center" wrapText="1"/>
    </xf>
    <xf numFmtId="0" fontId="5" fillId="25" borderId="1" xfId="0" applyFont="1" applyFill="1" applyBorder="1" applyAlignment="1">
      <alignment vertical="center" wrapText="1"/>
    </xf>
    <xf numFmtId="164" fontId="5" fillId="0" borderId="1" xfId="0" applyNumberFormat="1" applyFont="1" applyBorder="1" applyAlignment="1" applyProtection="1">
      <alignment horizontal="center" vertical="center"/>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0" fillId="0" borderId="1" xfId="0" applyBorder="1" applyAlignment="1">
      <alignment horizontal="center" vertical="center"/>
    </xf>
    <xf numFmtId="0" fontId="4" fillId="0" borderId="4" xfId="2" applyFont="1" applyBorder="1" applyAlignment="1">
      <alignment horizontal="center" vertical="center"/>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4" fillId="0" borderId="2" xfId="2" applyFont="1" applyBorder="1" applyAlignment="1">
      <alignment horizontal="center" vertical="center"/>
    </xf>
    <xf numFmtId="49" fontId="4" fillId="13" borderId="1" xfId="1" applyNumberFormat="1" applyFont="1" applyFill="1" applyBorder="1" applyAlignment="1">
      <alignment horizontal="center" vertical="center"/>
    </xf>
    <xf numFmtId="0" fontId="5" fillId="0" borderId="1" xfId="0" applyFont="1" applyBorder="1" applyAlignment="1">
      <alignment horizontal="center"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top"/>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0" fontId="10" fillId="20" borderId="1" xfId="0" applyFont="1" applyFill="1" applyBorder="1" applyAlignment="1">
      <alignment horizontal="left" vertical="top" wrapText="1"/>
    </xf>
    <xf numFmtId="0" fontId="11" fillId="22" borderId="1" xfId="0" applyFont="1" applyFill="1" applyBorder="1" applyAlignment="1">
      <alignment horizontal="left" vertical="top" wrapText="1"/>
    </xf>
    <xf numFmtId="0" fontId="4" fillId="33"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2" applyFont="1" applyBorder="1" applyAlignment="1">
      <alignment horizontal="center" vertical="center"/>
    </xf>
    <xf numFmtId="0" fontId="33" fillId="0" borderId="0" xfId="0" applyFont="1" applyProtection="1">
      <protection locked="0"/>
    </xf>
    <xf numFmtId="0" fontId="35" fillId="0" borderId="0" xfId="0" applyFont="1" applyProtection="1">
      <protection locked="0"/>
    </xf>
    <xf numFmtId="0" fontId="31" fillId="0" borderId="0" xfId="0" applyFont="1" applyProtection="1">
      <protection locked="0"/>
    </xf>
    <xf numFmtId="0" fontId="0" fillId="0" borderId="0" xfId="0" applyAlignment="1" applyProtection="1">
      <alignment vertical="center"/>
      <protection locked="0"/>
    </xf>
    <xf numFmtId="0" fontId="34" fillId="0" borderId="1" xfId="0" applyFont="1" applyBorder="1" applyProtection="1">
      <protection locked="0"/>
    </xf>
    <xf numFmtId="0" fontId="34" fillId="0" borderId="1" xfId="0" applyFont="1" applyBorder="1" applyAlignment="1" applyProtection="1">
      <alignment vertical="center"/>
      <protection locked="0"/>
    </xf>
    <xf numFmtId="0" fontId="0" fillId="0" borderId="0" xfId="0" applyAlignment="1" applyProtection="1">
      <alignment wrapText="1"/>
      <protection locked="0"/>
    </xf>
    <xf numFmtId="0" fontId="32" fillId="29" borderId="15" xfId="0" applyFont="1" applyFill="1" applyBorder="1" applyAlignment="1">
      <alignment horizontal="left"/>
    </xf>
    <xf numFmtId="0" fontId="32" fillId="29" borderId="0" xfId="0" applyFont="1" applyFill="1" applyAlignment="1">
      <alignment horizontal="left"/>
    </xf>
    <xf numFmtId="0" fontId="32" fillId="29" borderId="27" xfId="0" applyFont="1" applyFill="1" applyBorder="1" applyAlignment="1">
      <alignment horizontal="left"/>
    </xf>
    <xf numFmtId="0" fontId="32" fillId="29" borderId="11" xfId="0" applyFont="1" applyFill="1" applyBorder="1" applyAlignment="1">
      <alignment horizontal="center" wrapText="1"/>
    </xf>
    <xf numFmtId="0" fontId="32" fillId="29" borderId="12" xfId="0" applyFont="1" applyFill="1" applyBorder="1" applyAlignment="1">
      <alignment horizontal="center"/>
    </xf>
    <xf numFmtId="0" fontId="32" fillId="29" borderId="8" xfId="0" applyFont="1" applyFill="1" applyBorder="1" applyAlignment="1">
      <alignment horizontal="center"/>
    </xf>
    <xf numFmtId="0" fontId="0" fillId="0" borderId="0" xfId="0" applyAlignment="1">
      <alignment wrapText="1"/>
    </xf>
    <xf numFmtId="0" fontId="2" fillId="0" borderId="0" xfId="0" applyFont="1" applyProtection="1">
      <protection locked="0"/>
    </xf>
    <xf numFmtId="0" fontId="5"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0" fillId="0" borderId="0" xfId="0" applyAlignment="1" applyProtection="1">
      <alignment horizontal="center" vertical="center"/>
      <protection locked="0"/>
    </xf>
    <xf numFmtId="0" fontId="4" fillId="0" borderId="0" xfId="0" applyFont="1" applyProtection="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2" fontId="10" fillId="27"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4" fillId="0" borderId="0" xfId="0" applyFont="1" applyAlignment="1">
      <alignment horizontal="center"/>
    </xf>
    <xf numFmtId="0" fontId="30" fillId="7" borderId="2" xfId="0" applyFont="1" applyFill="1" applyBorder="1" applyAlignment="1">
      <alignment horizontal="right" vertical="center"/>
    </xf>
    <xf numFmtId="2" fontId="12" fillId="13" borderId="1" xfId="4" applyNumberFormat="1" applyFont="1" applyFill="1" applyBorder="1" applyAlignment="1" applyProtection="1">
      <alignment horizontal="center" vertical="center" wrapText="1"/>
    </xf>
    <xf numFmtId="0" fontId="4" fillId="0" borderId="0" xfId="0" applyFont="1" applyAlignment="1" applyProtection="1">
      <alignment wrapText="1"/>
      <protection locked="0"/>
    </xf>
    <xf numFmtId="2" fontId="7" fillId="0" borderId="1" xfId="0" applyNumberFormat="1" applyFont="1" applyBorder="1" applyAlignment="1">
      <alignment horizontal="center"/>
    </xf>
    <xf numFmtId="2" fontId="12" fillId="34" borderId="1" xfId="4" applyNumberFormat="1" applyFont="1" applyBorder="1" applyAlignment="1" applyProtection="1">
      <alignment horizontal="center" vertical="center" wrapText="1"/>
      <protection locked="0"/>
    </xf>
    <xf numFmtId="0" fontId="4" fillId="0" borderId="1" xfId="0" applyFont="1" applyBorder="1"/>
    <xf numFmtId="0" fontId="12" fillId="34" borderId="1" xfId="4" applyFont="1" applyBorder="1" applyAlignment="1" applyProtection="1">
      <alignment horizontal="center"/>
      <protection locked="0"/>
    </xf>
    <xf numFmtId="2" fontId="4" fillId="0" borderId="0" xfId="0" applyNumberFormat="1" applyFont="1" applyAlignment="1">
      <alignment horizontal="center"/>
    </xf>
    <xf numFmtId="0" fontId="4" fillId="0" borderId="2" xfId="0" applyFont="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18" fillId="30" borderId="1" xfId="0" applyFont="1" applyFill="1" applyBorder="1" applyAlignment="1">
      <alignment vertical="center"/>
    </xf>
    <xf numFmtId="0" fontId="10" fillId="32" borderId="1" xfId="0" applyFont="1" applyFill="1" applyBorder="1" applyAlignment="1">
      <alignment vertical="center"/>
    </xf>
    <xf numFmtId="0" fontId="11" fillId="35" borderId="1" xfId="0" applyFont="1" applyFill="1" applyBorder="1" applyAlignment="1" applyProtection="1">
      <alignment horizontal="center" vertical="center"/>
      <protection locked="0"/>
    </xf>
    <xf numFmtId="0" fontId="4" fillId="0" borderId="1" xfId="1" applyFont="1" applyBorder="1" applyAlignment="1">
      <alignment horizontal="left" vertical="center" wrapText="1"/>
    </xf>
    <xf numFmtId="0" fontId="4" fillId="0" borderId="1" xfId="2" applyFont="1" applyBorder="1" applyAlignment="1">
      <alignment vertical="center"/>
    </xf>
    <xf numFmtId="0" fontId="12" fillId="33" borderId="1" xfId="0" applyFont="1" applyFill="1" applyBorder="1" applyAlignment="1">
      <alignment horizontal="center" vertical="center"/>
    </xf>
    <xf numFmtId="2" fontId="11" fillId="0" borderId="1" xfId="0" applyNumberFormat="1" applyFont="1" applyBorder="1" applyAlignment="1">
      <alignment horizontal="center" vertical="center" wrapText="1"/>
    </xf>
    <xf numFmtId="0" fontId="4" fillId="0" borderId="1" xfId="0" applyFont="1" applyBorder="1" applyAlignment="1" applyProtection="1">
      <alignment vertical="top" wrapText="1"/>
      <protection locked="0"/>
    </xf>
    <xf numFmtId="0" fontId="12" fillId="0" borderId="1" xfId="0" applyFont="1" applyBorder="1" applyAlignment="1">
      <alignment horizontal="center" vertical="center" wrapText="1"/>
    </xf>
    <xf numFmtId="0" fontId="49" fillId="0" borderId="1" xfId="0" applyFont="1" applyBorder="1" applyAlignment="1">
      <alignment horizontal="center" vertical="top"/>
    </xf>
    <xf numFmtId="0" fontId="12" fillId="0" borderId="19" xfId="0" applyFont="1" applyBorder="1" applyAlignment="1">
      <alignment horizontal="center" vertical="top"/>
    </xf>
    <xf numFmtId="0" fontId="12" fillId="0" borderId="1" xfId="0" applyFont="1" applyBorder="1" applyAlignment="1">
      <alignment horizontal="center" vertical="top"/>
    </xf>
    <xf numFmtId="0" fontId="11" fillId="19" borderId="1" xfId="0" applyFont="1" applyFill="1" applyBorder="1" applyAlignment="1">
      <alignment horizontal="center" vertical="top"/>
    </xf>
    <xf numFmtId="0" fontId="0" fillId="8" borderId="1" xfId="0" applyFill="1" applyBorder="1" applyProtection="1">
      <protection locked="0"/>
    </xf>
    <xf numFmtId="0" fontId="6" fillId="0" borderId="1" xfId="0" applyFont="1" applyBorder="1" applyAlignment="1">
      <alignment horizontal="center" vertical="center"/>
    </xf>
    <xf numFmtId="0" fontId="31" fillId="0" borderId="1" xfId="0" applyFont="1" applyBorder="1" applyAlignment="1">
      <alignment horizontal="left" vertical="center" wrapText="1"/>
    </xf>
    <xf numFmtId="0" fontId="38" fillId="0" borderId="1" xfId="0" applyFont="1" applyBorder="1" applyAlignment="1">
      <alignment horizontal="left" vertical="center" wrapText="1"/>
    </xf>
    <xf numFmtId="0" fontId="31" fillId="0" borderId="1" xfId="0" applyFont="1" applyBorder="1" applyAlignment="1">
      <alignment horizontal="left" vertical="top" wrapText="1"/>
    </xf>
    <xf numFmtId="0" fontId="32" fillId="0" borderId="1" xfId="0" applyFont="1" applyBorder="1" applyAlignment="1">
      <alignment horizontal="center"/>
    </xf>
    <xf numFmtId="0" fontId="34" fillId="0" borderId="3" xfId="0" applyFont="1" applyBorder="1" applyAlignment="1">
      <alignment horizontal="left" vertical="center"/>
    </xf>
    <xf numFmtId="0" fontId="34" fillId="0" borderId="1" xfId="0" applyFont="1" applyBorder="1" applyAlignment="1">
      <alignment horizontal="left" vertical="center"/>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0" fillId="0" borderId="1" xfId="0" applyBorder="1" applyAlignment="1">
      <alignment horizontal="center" vertical="center"/>
    </xf>
    <xf numFmtId="0" fontId="11" fillId="32" borderId="1" xfId="0" applyFont="1" applyFill="1" applyBorder="1" applyAlignment="1">
      <alignment horizontal="left" vertical="center"/>
    </xf>
    <xf numFmtId="0" fontId="13" fillId="30"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applyAlignment="1">
      <alignment horizontal="left" vertical="center" wrapText="1"/>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0" fillId="15"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5" fillId="12" borderId="1" xfId="2" applyFont="1" applyFill="1" applyBorder="1" applyAlignment="1">
      <alignment horizontal="right" vertical="center" wrapText="1"/>
    </xf>
    <xf numFmtId="0" fontId="5" fillId="12" borderId="7" xfId="2" applyFont="1" applyFill="1" applyBorder="1" applyAlignment="1">
      <alignment horizontal="right" vertical="center" wrapText="1"/>
    </xf>
    <xf numFmtId="0" fontId="5" fillId="12" borderId="5" xfId="2" applyFont="1" applyFill="1" applyBorder="1" applyAlignment="1">
      <alignment horizontal="right" vertical="center" wrapText="1"/>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5" fillId="9" borderId="7" xfId="2" applyFont="1" applyFill="1" applyBorder="1" applyAlignment="1">
      <alignment horizontal="left" vertical="center"/>
    </xf>
    <xf numFmtId="0" fontId="5" fillId="9" borderId="6" xfId="2" applyFont="1" applyFill="1" applyBorder="1" applyAlignment="1">
      <alignment horizontal="left"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3" borderId="2" xfId="1" applyNumberFormat="1" applyFont="1" applyFill="1" applyBorder="1" applyAlignment="1">
      <alignment horizontal="center" vertical="center"/>
    </xf>
    <xf numFmtId="49" fontId="4" fillId="13" borderId="10" xfId="1" applyNumberFormat="1" applyFont="1" applyFill="1" applyBorder="1" applyAlignment="1">
      <alignment horizontal="center" vertical="center"/>
    </xf>
    <xf numFmtId="49" fontId="4" fillId="13" borderId="1" xfId="1" applyNumberFormat="1" applyFont="1" applyFill="1" applyBorder="1" applyAlignment="1">
      <alignment horizontal="center" vertical="center"/>
    </xf>
    <xf numFmtId="0" fontId="5" fillId="12" borderId="6" xfId="2" applyFont="1" applyFill="1" applyBorder="1" applyAlignment="1">
      <alignment horizontal="right" vertical="center" wrapText="1"/>
    </xf>
    <xf numFmtId="0" fontId="10" fillId="14" borderId="1" xfId="0" applyFont="1" applyFill="1" applyBorder="1" applyAlignment="1">
      <alignment horizontal="left" vertical="center" wrapText="1"/>
    </xf>
    <xf numFmtId="0" fontId="10" fillId="14" borderId="7" xfId="0" applyFont="1" applyFill="1" applyBorder="1" applyAlignment="1">
      <alignment horizontal="left" vertical="center"/>
    </xf>
    <xf numFmtId="0" fontId="10" fillId="14" borderId="5" xfId="0" applyFont="1" applyFill="1" applyBorder="1" applyAlignment="1">
      <alignment horizontal="left" vertical="center"/>
    </xf>
    <xf numFmtId="0" fontId="10" fillId="14" borderId="6" xfId="0" applyFont="1" applyFill="1" applyBorder="1" applyAlignment="1">
      <alignment horizontal="left" vertical="center"/>
    </xf>
    <xf numFmtId="0" fontId="5" fillId="0" borderId="1" xfId="0" applyFont="1" applyBorder="1" applyAlignment="1" applyProtection="1">
      <alignment horizontal="center" vertical="top"/>
      <protection locked="0"/>
    </xf>
    <xf numFmtId="0" fontId="5" fillId="33" borderId="7" xfId="0" applyFont="1" applyFill="1" applyBorder="1" applyAlignment="1">
      <alignment horizontal="center" vertical="center"/>
    </xf>
    <xf numFmtId="0" fontId="5" fillId="33" borderId="1" xfId="0" applyFont="1" applyFill="1" applyBorder="1" applyAlignment="1">
      <alignment horizontal="center" vertical="center"/>
    </xf>
    <xf numFmtId="0" fontId="5" fillId="0" borderId="7" xfId="0" applyFont="1" applyBorder="1" applyAlignment="1">
      <alignment horizontal="center" vertical="top"/>
    </xf>
    <xf numFmtId="0" fontId="5" fillId="0" borderId="1" xfId="0" applyFont="1" applyBorder="1" applyAlignment="1">
      <alignment horizontal="center" vertical="top"/>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12" fillId="0" borderId="5" xfId="0" applyFont="1" applyBorder="1" applyAlignment="1">
      <alignment horizontal="left" vertical="top" wrapText="1"/>
    </xf>
    <xf numFmtId="0" fontId="10" fillId="20" borderId="5" xfId="0" applyFont="1" applyFill="1" applyBorder="1" applyAlignment="1">
      <alignment horizontal="left" vertical="top"/>
    </xf>
    <xf numFmtId="0" fontId="10" fillId="20" borderId="6" xfId="0" applyFont="1" applyFill="1" applyBorder="1" applyAlignment="1">
      <alignment horizontal="left" vertical="top"/>
    </xf>
    <xf numFmtId="0" fontId="4" fillId="0" borderId="5" xfId="0" applyFont="1" applyBorder="1" applyAlignment="1">
      <alignment horizontal="left" vertical="top"/>
    </xf>
    <xf numFmtId="0" fontId="5" fillId="19" borderId="9" xfId="0" applyFont="1" applyFill="1" applyBorder="1" applyAlignment="1">
      <alignment horizontal="left" vertical="top"/>
    </xf>
    <xf numFmtId="0" fontId="5" fillId="19" borderId="2" xfId="0" applyFont="1" applyFill="1" applyBorder="1" applyAlignment="1">
      <alignment horizontal="left" vertical="top"/>
    </xf>
    <xf numFmtId="0" fontId="5" fillId="19" borderId="1" xfId="0" applyFont="1" applyFill="1" applyBorder="1" applyAlignment="1">
      <alignment horizontal="left" vertical="top"/>
    </xf>
    <xf numFmtId="0" fontId="4" fillId="0" borderId="5" xfId="0" applyFont="1" applyBorder="1" applyAlignment="1">
      <alignment horizontal="left" vertical="top" wrapText="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12" fillId="0" borderId="7"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5" fillId="18" borderId="16" xfId="0" applyFont="1" applyFill="1" applyBorder="1" applyAlignment="1">
      <alignment horizontal="left" vertical="top"/>
    </xf>
    <xf numFmtId="0" fontId="5" fillId="18" borderId="17" xfId="0" applyFont="1" applyFill="1" applyBorder="1" applyAlignment="1">
      <alignment horizontal="left" vertical="top"/>
    </xf>
    <xf numFmtId="0" fontId="4" fillId="0" borderId="1" xfId="0" applyFont="1" applyBorder="1" applyAlignment="1">
      <alignment horizontal="center" vertical="top"/>
    </xf>
    <xf numFmtId="0" fontId="4" fillId="17" borderId="2" xfId="0" applyFont="1" applyFill="1" applyBorder="1" applyAlignment="1" applyProtection="1">
      <alignment horizontal="center" vertical="center"/>
      <protection locked="0"/>
    </xf>
    <xf numFmtId="0" fontId="4" fillId="17"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4" fillId="0" borderId="1" xfId="0" applyFont="1" applyBorder="1" applyAlignment="1">
      <alignment horizontal="center" vertical="center"/>
    </xf>
    <xf numFmtId="164" fontId="5" fillId="0" borderId="2"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center" wrapText="1"/>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52" fillId="0" borderId="0" xfId="0" applyFont="1" applyAlignment="1">
      <alignment horizontal="left" vertical="top" wrapText="1"/>
    </xf>
    <xf numFmtId="0" fontId="15" fillId="0" borderId="5" xfId="0" applyFont="1" applyBorder="1" applyAlignment="1">
      <alignment horizontal="left" vertical="top" wrapText="1"/>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0" borderId="7" xfId="0" applyFont="1" applyFill="1" applyBorder="1" applyAlignment="1">
      <alignment horizontal="left" vertical="top"/>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33" borderId="2" xfId="0" applyFont="1" applyFill="1" applyBorder="1" applyAlignment="1">
      <alignment horizontal="center" vertical="center"/>
    </xf>
    <xf numFmtId="0" fontId="4" fillId="33" borderId="10" xfId="0" applyFont="1" applyFill="1" applyBorder="1" applyAlignment="1">
      <alignment horizontal="center" vertical="center"/>
    </xf>
    <xf numFmtId="0" fontId="4" fillId="33" borderId="3" xfId="0" applyFont="1" applyFill="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6" borderId="7" xfId="0" applyFont="1" applyFill="1" applyBorder="1" applyAlignment="1">
      <alignment horizontal="left" vertical="top"/>
    </xf>
    <xf numFmtId="0" fontId="10" fillId="16" borderId="5" xfId="0" applyFont="1" applyFill="1" applyBorder="1" applyAlignment="1">
      <alignment horizontal="left" vertical="top"/>
    </xf>
    <xf numFmtId="0" fontId="12" fillId="0" borderId="1" xfId="0" applyFont="1" applyBorder="1" applyAlignment="1">
      <alignment horizontal="left" vertical="top" wrapText="1"/>
    </xf>
    <xf numFmtId="0" fontId="10" fillId="20"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4" fillId="19" borderId="5" xfId="0" applyFont="1" applyFill="1" applyBorder="1" applyAlignment="1">
      <alignment horizontal="left" vertical="top" wrapText="1"/>
    </xf>
    <xf numFmtId="0" fontId="5" fillId="24" borderId="1" xfId="0" applyFont="1" applyFill="1" applyBorder="1" applyAlignment="1">
      <alignment horizontal="right" vertical="center"/>
    </xf>
    <xf numFmtId="0" fontId="11" fillId="22" borderId="5" xfId="0" applyFont="1" applyFill="1" applyBorder="1" applyAlignment="1">
      <alignment horizontal="left" vertical="top" wrapText="1"/>
    </xf>
    <xf numFmtId="0" fontId="4" fillId="0" borderId="6" xfId="0" applyFont="1" applyBorder="1" applyAlignment="1">
      <alignment horizontal="left" vertical="top" wrapText="1"/>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3" borderId="7" xfId="0" applyFont="1" applyFill="1" applyBorder="1" applyAlignment="1">
      <alignment horizontal="left" vertical="top"/>
    </xf>
    <xf numFmtId="0" fontId="11" fillId="23" borderId="5" xfId="0" applyFont="1" applyFill="1" applyBorder="1" applyAlignment="1">
      <alignment horizontal="left" vertical="top"/>
    </xf>
    <xf numFmtId="0" fontId="11" fillId="21" borderId="5" xfId="0" applyFont="1" applyFill="1" applyBorder="1" applyAlignment="1">
      <alignment horizontal="left" vertical="top"/>
    </xf>
    <xf numFmtId="0" fontId="11" fillId="21" borderId="6" xfId="0" applyFont="1" applyFill="1" applyBorder="1" applyAlignment="1">
      <alignment horizontal="left" vertical="top"/>
    </xf>
    <xf numFmtId="0" fontId="11" fillId="22" borderId="1" xfId="0" applyFont="1" applyFill="1" applyBorder="1" applyAlignment="1">
      <alignment horizontal="left" vertical="top"/>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1" fillId="21" borderId="5" xfId="0" applyFont="1" applyFill="1" applyBorder="1" applyAlignment="1">
      <alignment horizontal="left" vertical="top" wrapText="1"/>
    </xf>
    <xf numFmtId="0" fontId="11" fillId="21"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4" fillId="0" borderId="11" xfId="0" applyFont="1" applyBorder="1" applyAlignment="1">
      <alignment horizontal="center" vertical="top"/>
    </xf>
    <xf numFmtId="0" fontId="5" fillId="17" borderId="16" xfId="0" applyFont="1" applyFill="1" applyBorder="1" applyAlignment="1">
      <alignment horizontal="center" vertical="top" wrapText="1"/>
    </xf>
    <xf numFmtId="0" fontId="5" fillId="17"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33" borderId="1" xfId="0" applyFont="1" applyFill="1" applyBorder="1" applyAlignment="1">
      <alignment horizontal="center" vertical="center"/>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pplyProtection="1">
      <alignment horizontal="center" vertical="top"/>
      <protection locked="0"/>
    </xf>
    <xf numFmtId="0" fontId="4" fillId="0" borderId="3" xfId="0" applyFont="1" applyBorder="1" applyAlignment="1" applyProtection="1">
      <alignment horizontal="center" vertical="top"/>
      <protection locked="0"/>
    </xf>
    <xf numFmtId="0" fontId="17"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11" fillId="22" borderId="1" xfId="0" applyFont="1" applyFill="1" applyBorder="1" applyAlignment="1">
      <alignment horizontal="left" vertical="top" wrapText="1"/>
    </xf>
    <xf numFmtId="0" fontId="5" fillId="0" borderId="1" xfId="0" applyFont="1" applyBorder="1" applyAlignment="1">
      <alignment horizontal="left" vertical="top" wrapText="1"/>
    </xf>
    <xf numFmtId="0" fontId="11" fillId="23" borderId="1" xfId="0" applyFont="1" applyFill="1" applyBorder="1" applyAlignment="1">
      <alignment horizontal="left" vertical="top"/>
    </xf>
    <xf numFmtId="0" fontId="11" fillId="21" borderId="1" xfId="0" applyFont="1" applyFill="1" applyBorder="1" applyAlignment="1">
      <alignment horizontal="left" vertical="top" wrapText="1"/>
    </xf>
    <xf numFmtId="0" fontId="11" fillId="21" borderId="1" xfId="0" applyFont="1" applyFill="1" applyBorder="1" applyAlignment="1">
      <alignment horizontal="left" vertical="top"/>
    </xf>
    <xf numFmtId="0" fontId="20" fillId="0" borderId="1" xfId="0" applyFont="1" applyBorder="1" applyAlignment="1">
      <alignment horizontal="left" vertical="top" wrapText="1"/>
    </xf>
    <xf numFmtId="0" fontId="11" fillId="22" borderId="1" xfId="0" applyFont="1" applyFill="1" applyBorder="1" applyAlignment="1">
      <alignment horizontal="left" vertical="center" wrapText="1"/>
    </xf>
    <xf numFmtId="0" fontId="5" fillId="15" borderId="1" xfId="2" applyFont="1" applyFill="1" applyBorder="1" applyAlignment="1">
      <alignment horizontal="right" vertical="center" wrapText="1"/>
    </xf>
    <xf numFmtId="0" fontId="11" fillId="26" borderId="1" xfId="0" applyFont="1" applyFill="1" applyBorder="1" applyAlignment="1">
      <alignment horizontal="left" vertical="center" wrapText="1"/>
    </xf>
    <xf numFmtId="0" fontId="9" fillId="25" borderId="7" xfId="0" applyFont="1" applyFill="1" applyBorder="1" applyAlignment="1">
      <alignment horizontal="center" vertical="center" wrapText="1"/>
    </xf>
    <xf numFmtId="0" fontId="9" fillId="25" borderId="5" xfId="0" applyFont="1" applyFill="1" applyBorder="1" applyAlignment="1">
      <alignment horizontal="center" vertical="center" wrapText="1"/>
    </xf>
    <xf numFmtId="0" fontId="9" fillId="25" borderId="6"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49" fontId="4" fillId="13" borderId="3" xfId="1" applyNumberFormat="1" applyFont="1" applyFill="1" applyBorder="1" applyAlignment="1">
      <alignment horizontal="center" vertical="center"/>
    </xf>
    <xf numFmtId="0" fontId="23" fillId="6" borderId="1" xfId="0" applyFont="1" applyFill="1" applyBorder="1" applyAlignment="1">
      <alignment horizontal="center" vertical="center"/>
    </xf>
    <xf numFmtId="2" fontId="4" fillId="0" borderId="1" xfId="0" applyNumberFormat="1" applyFont="1" applyBorder="1" applyAlignment="1">
      <alignment horizontal="center" vertical="center" wrapText="1"/>
    </xf>
    <xf numFmtId="2" fontId="10" fillId="27" borderId="1" xfId="0" applyNumberFormat="1" applyFont="1" applyFill="1" applyBorder="1" applyAlignment="1">
      <alignment horizontal="center" vertical="center" wrapText="1"/>
    </xf>
    <xf numFmtId="0" fontId="10" fillId="27" borderId="1" xfId="0" applyFont="1" applyFill="1" applyBorder="1" applyAlignment="1">
      <alignment horizontal="center" vertical="center" wrapText="1"/>
    </xf>
    <xf numFmtId="2" fontId="5" fillId="28" borderId="1" xfId="0" applyNumberFormat="1" applyFont="1" applyFill="1" applyBorder="1" applyAlignment="1">
      <alignment horizontal="center" vertical="center"/>
    </xf>
    <xf numFmtId="0" fontId="5" fillId="28" borderId="1" xfId="0" applyFont="1" applyFill="1" applyBorder="1" applyAlignment="1">
      <alignment horizontal="center" vertical="center"/>
    </xf>
    <xf numFmtId="0" fontId="9" fillId="2" borderId="1" xfId="0" applyFont="1" applyFill="1" applyBorder="1" applyAlignment="1">
      <alignment horizontal="center" vertical="center" wrapText="1"/>
    </xf>
    <xf numFmtId="2" fontId="12"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xf>
    <xf numFmtId="0" fontId="12" fillId="0" borderId="1" xfId="0" applyFont="1" applyBorder="1" applyAlignment="1">
      <alignment horizontal="center" vertical="center"/>
    </xf>
    <xf numFmtId="2" fontId="4" fillId="0" borderId="1" xfId="0" applyNumberFormat="1" applyFont="1" applyBorder="1" applyAlignment="1">
      <alignment horizontal="center"/>
    </xf>
    <xf numFmtId="2" fontId="12" fillId="0" borderId="7" xfId="0" applyNumberFormat="1" applyFont="1" applyBorder="1" applyAlignment="1">
      <alignment horizontal="center" vertical="center"/>
    </xf>
    <xf numFmtId="2" fontId="12" fillId="0" borderId="6"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12" fillId="34" borderId="1" xfId="4" applyNumberFormat="1" applyFont="1" applyBorder="1" applyAlignment="1" applyProtection="1">
      <alignment horizontal="center" vertical="center"/>
      <protection locked="0"/>
    </xf>
    <xf numFmtId="0" fontId="41" fillId="0" borderId="28" xfId="0" applyFont="1" applyBorder="1" applyAlignment="1">
      <alignment horizontal="center" vertical="top" wrapText="1"/>
    </xf>
    <xf numFmtId="0" fontId="41" fillId="0" borderId="29" xfId="0" applyFont="1" applyBorder="1" applyAlignment="1">
      <alignment horizontal="center" vertical="top" wrapText="1"/>
    </xf>
    <xf numFmtId="0" fontId="41" fillId="0" borderId="30" xfId="0" applyFont="1" applyBorder="1" applyAlignment="1">
      <alignment horizontal="center" vertical="top" wrapText="1"/>
    </xf>
    <xf numFmtId="0" fontId="5" fillId="28" borderId="7" xfId="0" applyFont="1" applyFill="1" applyBorder="1" applyAlignment="1">
      <alignment horizontal="left" vertical="center"/>
    </xf>
    <xf numFmtId="0" fontId="5" fillId="28" borderId="6" xfId="0" applyFont="1" applyFill="1" applyBorder="1" applyAlignment="1">
      <alignment horizontal="left" vertical="center"/>
    </xf>
    <xf numFmtId="0" fontId="12" fillId="0" borderId="1" xfId="0" applyFont="1" applyBorder="1" applyAlignment="1">
      <alignment horizontal="center" vertical="center" wrapText="1"/>
    </xf>
    <xf numFmtId="2" fontId="8" fillId="7" borderId="1" xfId="0" applyNumberFormat="1" applyFont="1" applyFill="1" applyBorder="1" applyAlignment="1">
      <alignment horizontal="center" vertical="center"/>
    </xf>
    <xf numFmtId="0" fontId="41" fillId="0" borderId="24" xfId="0" applyFont="1" applyBorder="1" applyAlignment="1">
      <alignment horizontal="center" vertical="top" wrapText="1"/>
    </xf>
    <xf numFmtId="0" fontId="41" fillId="0" borderId="0" xfId="0" applyFont="1" applyAlignment="1">
      <alignment horizontal="center" vertical="top" wrapText="1"/>
    </xf>
    <xf numFmtId="0" fontId="41" fillId="0" borderId="35" xfId="0" applyFont="1" applyBorder="1" applyAlignment="1">
      <alignment horizontal="center" vertical="top" wrapText="1"/>
    </xf>
    <xf numFmtId="0" fontId="43" fillId="0" borderId="31" xfId="0" applyFont="1" applyBorder="1" applyAlignment="1">
      <alignment horizontal="left" vertical="top" wrapText="1"/>
    </xf>
    <xf numFmtId="0" fontId="48" fillId="0" borderId="32" xfId="0" applyFont="1" applyBorder="1" applyAlignment="1">
      <alignment horizontal="left" vertical="top" wrapText="1"/>
    </xf>
    <xf numFmtId="0" fontId="48" fillId="0" borderId="33" xfId="0" applyFont="1" applyBorder="1" applyAlignment="1">
      <alignment horizontal="left" vertical="top" wrapText="1"/>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10" fillId="27" borderId="1" xfId="0" applyFont="1" applyFill="1" applyBorder="1" applyAlignment="1">
      <alignment horizontal="left" vertical="center"/>
    </xf>
    <xf numFmtId="0" fontId="0" fillId="0" borderId="1" xfId="0" applyBorder="1" applyAlignment="1">
      <alignment horizontal="center"/>
    </xf>
    <xf numFmtId="2" fontId="12" fillId="0" borderId="5" xfId="0" applyNumberFormat="1" applyFont="1" applyBorder="1" applyAlignment="1">
      <alignment horizontal="center" vertical="center"/>
    </xf>
    <xf numFmtId="166" fontId="12" fillId="0" borderId="1" xfId="0" applyNumberFormat="1" applyFont="1" applyBorder="1" applyAlignment="1">
      <alignment horizontal="center"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2" fontId="11" fillId="0" borderId="7" xfId="0" applyNumberFormat="1" applyFont="1" applyBorder="1" applyAlignment="1">
      <alignment horizontal="center" vertical="center"/>
    </xf>
    <xf numFmtId="2" fontId="11" fillId="0" borderId="6" xfId="0" applyNumberFormat="1" applyFont="1" applyBorder="1" applyAlignment="1">
      <alignment horizontal="center" vertical="center"/>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0"/>
  <tableStyles count="0" defaultTableStyle="TableStyleMedium2" defaultPivotStyle="PivotStyleLight16"/>
  <colors>
    <mruColors>
      <color rgb="FF0A0064"/>
      <color rgb="FF9966FF"/>
      <color rgb="FFCCCCFF"/>
      <color rgb="FF9933FF"/>
      <color rgb="FFFFFFCC"/>
      <color rgb="FFFFFF99"/>
      <color rgb="FFFFFF66"/>
      <color rgb="FF66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326745</xdr:rowOff>
    </xdr:from>
    <xdr:ext cx="6038384" cy="342786"/>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684775" y="808598"/>
          <a:ext cx="603838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Scoreheet!</a:t>
          </a:r>
          <a:endParaRPr lang="en-SG" sz="1600" b="1">
            <a:solidFill>
              <a:srgbClr val="7030A0"/>
            </a:solidFill>
          </a:endParaRPr>
        </a:p>
      </xdr:txBody>
    </xdr:sp>
    <xdr:clientData/>
  </xdr:oneCellAnchor>
  <xdr:twoCellAnchor>
    <xdr:from>
      <xdr:col>1</xdr:col>
      <xdr:colOff>317753</xdr:colOff>
      <xdr:row>2</xdr:row>
      <xdr:rowOff>494424</xdr:rowOff>
    </xdr:from>
    <xdr:to>
      <xdr:col>1</xdr:col>
      <xdr:colOff>2135687</xdr:colOff>
      <xdr:row>2</xdr:row>
      <xdr:rowOff>498138</xdr:rowOff>
    </xdr:to>
    <xdr:cxnSp macro="">
      <xdr:nvCxnSpPr>
        <xdr:cNvPr id="4" name="Straight Arrow Connector 3">
          <a:extLst>
            <a:ext uri="{FF2B5EF4-FFF2-40B4-BE49-F238E27FC236}">
              <a16:creationId xmlns:a16="http://schemas.microsoft.com/office/drawing/2014/main" id="{00000000-0008-0000-0700-000004000000}"/>
            </a:ext>
          </a:extLst>
        </xdr:cNvPr>
        <xdr:cNvCxnSpPr>
          <a:stCxn id="3" idx="1"/>
        </xdr:cNvCxnSpPr>
      </xdr:nvCxnSpPr>
      <xdr:spPr>
        <a:xfrm flipH="1" flipV="1">
          <a:off x="866841" y="976277"/>
          <a:ext cx="1817934" cy="3714"/>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228600</xdr:rowOff>
        </xdr:from>
        <xdr:to>
          <xdr:col>1</xdr:col>
          <xdr:colOff>317500</xdr:colOff>
          <xdr:row>3</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ow r="6">
          <cell r="E6">
            <v>3</v>
          </cell>
          <cell r="F6">
            <v>0</v>
          </cell>
          <cell r="L6">
            <v>10.5</v>
          </cell>
          <cell r="M6">
            <v>0</v>
          </cell>
        </row>
        <row r="7">
          <cell r="B7" t="str">
            <v>General Project Requirement</v>
          </cell>
          <cell r="E7">
            <v>3</v>
          </cell>
          <cell r="F7">
            <v>0</v>
          </cell>
          <cell r="I7" t="str">
            <v>Softscape</v>
          </cell>
          <cell r="L7">
            <v>1</v>
          </cell>
          <cell r="M7">
            <v>0</v>
          </cell>
        </row>
        <row r="8">
          <cell r="E8">
            <v>11.5</v>
          </cell>
          <cell r="F8">
            <v>0</v>
          </cell>
          <cell r="I8" t="str">
            <v>Hardscape</v>
          </cell>
          <cell r="L8">
            <v>4</v>
          </cell>
          <cell r="M8">
            <v>0</v>
          </cell>
        </row>
        <row r="9">
          <cell r="A9" t="str">
            <v>Part A - General Façade</v>
          </cell>
          <cell r="E9">
            <v>0.5</v>
          </cell>
          <cell r="F9">
            <v>0</v>
          </cell>
          <cell r="I9" t="str">
            <v>Vertical Greenery</v>
          </cell>
          <cell r="L9" t="str">
            <v>Pre-req</v>
          </cell>
        </row>
        <row r="10">
          <cell r="B10" t="str">
            <v>General Façade</v>
          </cell>
          <cell r="E10">
            <v>0.5</v>
          </cell>
          <cell r="F10">
            <v>0</v>
          </cell>
          <cell r="I10" t="str">
            <v>Roof and Sky Terraces</v>
          </cell>
          <cell r="L10">
            <v>1</v>
          </cell>
          <cell r="M10">
            <v>0</v>
          </cell>
        </row>
        <row r="11">
          <cell r="A11" t="str">
            <v>Part B - Façade System</v>
          </cell>
          <cell r="E11">
            <v>4</v>
          </cell>
          <cell r="F11">
            <v>0</v>
          </cell>
          <cell r="I11" t="str">
            <v>Water Retaining Structures</v>
          </cell>
          <cell r="L11">
            <v>3</v>
          </cell>
          <cell r="M11">
            <v>0</v>
          </cell>
        </row>
        <row r="12">
          <cell r="B12" t="str">
            <v>Cladding system: Tile/ Stone/ Metal/ Others</v>
          </cell>
          <cell r="E12">
            <v>4</v>
          </cell>
          <cell r="F12">
            <v>0</v>
          </cell>
          <cell r="I12" t="str">
            <v>Standalone Structures</v>
          </cell>
          <cell r="L12">
            <v>1.5</v>
          </cell>
          <cell r="M12">
            <v>0</v>
          </cell>
        </row>
        <row r="13">
          <cell r="B13" t="str">
            <v>Curtain Wall: Glazing/ Others</v>
          </cell>
          <cell r="L13">
            <v>2</v>
          </cell>
          <cell r="M13">
            <v>0</v>
          </cell>
        </row>
        <row r="14">
          <cell r="B14" t="str">
            <v>Masonry and Lightweight Concrete Panels</v>
          </cell>
          <cell r="I14" t="str">
            <v>Outdoor games court</v>
          </cell>
          <cell r="L14">
            <v>2</v>
          </cell>
          <cell r="M14">
            <v>0</v>
          </cell>
        </row>
        <row r="15">
          <cell r="A15" t="str">
            <v>Part C - Others</v>
          </cell>
          <cell r="E15">
            <v>7</v>
          </cell>
          <cell r="F15">
            <v>0</v>
          </cell>
          <cell r="L15">
            <v>5</v>
          </cell>
          <cell r="M15">
            <v>0</v>
          </cell>
        </row>
        <row r="16">
          <cell r="B16" t="str">
            <v>Façade Features/ considerations</v>
          </cell>
          <cell r="E16">
            <v>3</v>
          </cell>
          <cell r="F16">
            <v>0</v>
          </cell>
          <cell r="I16" t="str">
            <v>Innovation features in labour-saving/maintenance-free</v>
          </cell>
          <cell r="L16">
            <v>5</v>
          </cell>
          <cell r="M16">
            <v>0</v>
          </cell>
        </row>
        <row r="17">
          <cell r="B17" t="str">
            <v>Entrance lobby/ Integrated drop-off points at blocks</v>
          </cell>
          <cell r="E17">
            <v>2</v>
          </cell>
          <cell r="F17">
            <v>0</v>
          </cell>
        </row>
        <row r="18">
          <cell r="B18" t="str">
            <v>Exposed corridors and link bridges</v>
          </cell>
          <cell r="E18">
            <v>2</v>
          </cell>
          <cell r="F18">
            <v>0</v>
          </cell>
          <cell r="H18" t="str">
            <v>Section 1 BONUS POINTS</v>
          </cell>
          <cell r="L18">
            <v>3</v>
          </cell>
          <cell r="M18">
            <v>0</v>
          </cell>
        </row>
        <row r="19">
          <cell r="B19" t="str">
            <v>Roof</v>
          </cell>
          <cell r="E19" t="str">
            <v>Pre-req</v>
          </cell>
          <cell r="H19" t="str">
            <v>Section 5 BONUS POINTS</v>
          </cell>
          <cell r="L19">
            <v>1</v>
          </cell>
          <cell r="M19">
            <v>0</v>
          </cell>
        </row>
        <row r="20">
          <cell r="E20">
            <v>18.5</v>
          </cell>
          <cell r="F20">
            <v>0</v>
          </cell>
        </row>
        <row r="21">
          <cell r="B21" t="str">
            <v>Floors</v>
          </cell>
          <cell r="E21">
            <v>2.5</v>
          </cell>
          <cell r="F21">
            <v>0</v>
          </cell>
        </row>
        <row r="22">
          <cell r="B22" t="str">
            <v>Walls and Partitions</v>
          </cell>
          <cell r="E22">
            <v>1</v>
          </cell>
          <cell r="F22">
            <v>0</v>
          </cell>
          <cell r="K22">
            <v>0</v>
          </cell>
          <cell r="N22">
            <v>0</v>
          </cell>
        </row>
        <row r="23">
          <cell r="B23" t="str">
            <v>Ceiling</v>
          </cell>
          <cell r="E23">
            <v>4</v>
          </cell>
          <cell r="F23">
            <v>0</v>
          </cell>
          <cell r="K23">
            <v>71</v>
          </cell>
        </row>
        <row r="24">
          <cell r="B24" t="str">
            <v xml:space="preserve">Common toilets </v>
          </cell>
          <cell r="E24">
            <v>7</v>
          </cell>
          <cell r="F24">
            <v>0</v>
          </cell>
          <cell r="K24">
            <v>0</v>
          </cell>
        </row>
        <row r="25">
          <cell r="B25" t="str">
            <v>Basements</v>
          </cell>
          <cell r="E25">
            <v>4</v>
          </cell>
          <cell r="F25">
            <v>0</v>
          </cell>
          <cell r="K25">
            <v>0</v>
          </cell>
          <cell r="M25">
            <v>0</v>
          </cell>
        </row>
        <row r="26">
          <cell r="E26">
            <v>10</v>
          </cell>
          <cell r="F26">
            <v>0</v>
          </cell>
        </row>
        <row r="27">
          <cell r="B27" t="str">
            <v xml:space="preserve">Air Conditioning System-Direct Expansion System 
(DX Units) </v>
          </cell>
          <cell r="E27">
            <v>2</v>
          </cell>
          <cell r="F27">
            <v>0</v>
          </cell>
        </row>
        <row r="28">
          <cell r="B28" t="str">
            <v>Air Conditioning System - Variable Refrigerant Flow (VRF) System</v>
          </cell>
          <cell r="E28" t="str">
            <v>Pre-req</v>
          </cell>
        </row>
        <row r="29">
          <cell r="B29" t="str">
            <v>Air Distribution System</v>
          </cell>
          <cell r="E29">
            <v>1</v>
          </cell>
          <cell r="F29">
            <v>0</v>
          </cell>
        </row>
        <row r="30">
          <cell r="B30" t="str">
            <v>Domestic Water Supply</v>
          </cell>
          <cell r="E30" t="str">
            <v>Pre-req</v>
          </cell>
          <cell r="M30" t="str">
            <v/>
          </cell>
        </row>
        <row r="31">
          <cell r="B31" t="str">
            <v>Sanitary System</v>
          </cell>
          <cell r="E31">
            <v>2</v>
          </cell>
          <cell r="F31">
            <v>0</v>
          </cell>
          <cell r="M31">
            <v>0</v>
          </cell>
        </row>
        <row r="32">
          <cell r="B32" t="str">
            <v xml:space="preserve">Fire Protection System </v>
          </cell>
          <cell r="E32">
            <v>2</v>
          </cell>
          <cell r="F32">
            <v>0</v>
          </cell>
        </row>
        <row r="33">
          <cell r="B33" t="str">
            <v>Swimming Pool System</v>
          </cell>
          <cell r="E33">
            <v>3</v>
          </cell>
          <cell r="F33">
            <v>0</v>
          </cell>
        </row>
        <row r="35">
          <cell r="E35">
            <v>10.5</v>
          </cell>
          <cell r="F35">
            <v>0</v>
          </cell>
        </row>
        <row r="36">
          <cell r="B36" t="str">
            <v>Lighting System</v>
          </cell>
          <cell r="E36">
            <v>1.5</v>
          </cell>
          <cell r="F36">
            <v>0</v>
          </cell>
        </row>
        <row r="37">
          <cell r="B37" t="str">
            <v>Power Distribution System</v>
          </cell>
          <cell r="E37">
            <v>3</v>
          </cell>
          <cell r="F37">
            <v>0</v>
          </cell>
        </row>
        <row r="38">
          <cell r="B38" t="str">
            <v>Extra Low Voltage System</v>
          </cell>
          <cell r="E38">
            <v>3</v>
          </cell>
          <cell r="F38">
            <v>0</v>
          </cell>
        </row>
        <row r="39">
          <cell r="B39" t="str">
            <v>Lightning Protection System</v>
          </cell>
          <cell r="E39">
            <v>1</v>
          </cell>
          <cell r="F39">
            <v>0</v>
          </cell>
        </row>
        <row r="40">
          <cell r="B40" t="str">
            <v>Vertical Transportation System</v>
          </cell>
          <cell r="E40">
            <v>2</v>
          </cell>
          <cell r="F40">
            <v>0</v>
          </cell>
        </row>
        <row r="41">
          <cell r="B41" t="str">
            <v>Carpark Entry System</v>
          </cell>
          <cell r="E41" t="str">
            <v>Pre-req</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efreshError="1">
        <row r="6">
          <cell r="F6">
            <v>0</v>
          </cell>
          <cell r="M6">
            <v>0</v>
          </cell>
        </row>
        <row r="7">
          <cell r="F7">
            <v>0</v>
          </cell>
          <cell r="M7">
            <v>0</v>
          </cell>
        </row>
        <row r="8">
          <cell r="F8">
            <v>0</v>
          </cell>
          <cell r="M8">
            <v>0</v>
          </cell>
        </row>
        <row r="9">
          <cell r="F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row>
        <row r="18">
          <cell r="F18">
            <v>0</v>
          </cell>
          <cell r="M18">
            <v>0</v>
          </cell>
        </row>
        <row r="19">
          <cell r="M19">
            <v>0</v>
          </cell>
        </row>
        <row r="20">
          <cell r="F20">
            <v>0</v>
          </cell>
        </row>
        <row r="21">
          <cell r="F21">
            <v>0</v>
          </cell>
        </row>
        <row r="22">
          <cell r="F22">
            <v>0</v>
          </cell>
          <cell r="K22">
            <v>0</v>
          </cell>
          <cell r="N22">
            <v>0</v>
          </cell>
        </row>
        <row r="23">
          <cell r="F23">
            <v>0</v>
          </cell>
        </row>
        <row r="24">
          <cell r="F24">
            <v>0</v>
          </cell>
          <cell r="K24">
            <v>0</v>
          </cell>
        </row>
        <row r="25">
          <cell r="F25">
            <v>0</v>
          </cell>
          <cell r="K25">
            <v>0</v>
          </cell>
          <cell r="M25">
            <v>0</v>
          </cell>
        </row>
        <row r="26">
          <cell r="F26">
            <v>0</v>
          </cell>
        </row>
        <row r="27">
          <cell r="F27">
            <v>0</v>
          </cell>
        </row>
        <row r="29">
          <cell r="F29">
            <v>0</v>
          </cell>
        </row>
        <row r="30">
          <cell r="M30" t="str">
            <v/>
          </cell>
        </row>
        <row r="31">
          <cell r="F31">
            <v>0</v>
          </cell>
          <cell r="M31">
            <v>0</v>
          </cell>
        </row>
        <row r="32">
          <cell r="F32">
            <v>0</v>
          </cell>
        </row>
        <row r="33">
          <cell r="F33">
            <v>0</v>
          </cell>
        </row>
        <row r="35">
          <cell r="F35">
            <v>0</v>
          </cell>
        </row>
        <row r="36">
          <cell r="F36">
            <v>0</v>
          </cell>
        </row>
        <row r="37">
          <cell r="F37">
            <v>0</v>
          </cell>
        </row>
        <row r="38">
          <cell r="F38">
            <v>0</v>
          </cell>
        </row>
        <row r="39">
          <cell r="F39">
            <v>0</v>
          </cell>
        </row>
        <row r="40">
          <cell r="F40">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zoomScaleNormal="100" workbookViewId="0">
      <selection activeCell="C10" sqref="C10"/>
    </sheetView>
  </sheetViews>
  <sheetFormatPr defaultColWidth="8.81640625" defaultRowHeight="14.5" x14ac:dyDescent="0.35"/>
  <cols>
    <col min="1" max="1" width="33.81640625" style="285" customWidth="1"/>
    <col min="2" max="2" width="11.81640625" style="17" customWidth="1"/>
    <col min="3" max="3" width="63" style="17" customWidth="1"/>
    <col min="4" max="5" width="50.7265625" style="17" customWidth="1"/>
    <col min="6" max="6" width="8.81640625" style="17"/>
    <col min="7" max="7" width="63" style="281" hidden="1" customWidth="1"/>
    <col min="8" max="16384" width="8.81640625" style="17"/>
  </cols>
  <sheetData>
    <row r="1" spans="1:7" x14ac:dyDescent="0.35">
      <c r="A1" s="292"/>
      <c r="B1"/>
      <c r="C1"/>
    </row>
    <row r="2" spans="1:7" s="279" customFormat="1" ht="20" x14ac:dyDescent="0.4">
      <c r="A2" s="337"/>
      <c r="B2" s="337"/>
      <c r="C2" s="337"/>
    </row>
    <row r="3" spans="1:7" s="279" customFormat="1" ht="20" x14ac:dyDescent="0.4">
      <c r="A3" s="286"/>
      <c r="B3" s="287"/>
      <c r="C3" s="288"/>
    </row>
    <row r="4" spans="1:7" s="279" customFormat="1" ht="20" x14ac:dyDescent="0.4">
      <c r="A4" s="286" t="s">
        <v>0</v>
      </c>
      <c r="B4" s="287"/>
      <c r="C4" s="288"/>
    </row>
    <row r="5" spans="1:7" s="279" customFormat="1" ht="20" x14ac:dyDescent="0.4">
      <c r="A5" s="286"/>
      <c r="B5" s="287"/>
      <c r="C5" s="288"/>
    </row>
    <row r="6" spans="1:7" s="279" customFormat="1" ht="31.5" customHeight="1" x14ac:dyDescent="0.4">
      <c r="A6" s="289"/>
      <c r="B6" s="290"/>
      <c r="C6" s="291"/>
    </row>
    <row r="7" spans="1:7" ht="20.149999999999999" customHeight="1" x14ac:dyDescent="0.35">
      <c r="A7" s="338" t="s">
        <v>1</v>
      </c>
      <c r="B7" s="338"/>
      <c r="C7" s="338"/>
      <c r="G7" s="280" t="s">
        <v>2</v>
      </c>
    </row>
    <row r="8" spans="1:7" ht="20.149999999999999" customHeight="1" x14ac:dyDescent="0.35">
      <c r="A8" s="334" t="s">
        <v>3</v>
      </c>
      <c r="B8" s="334"/>
      <c r="C8" s="19"/>
    </row>
    <row r="9" spans="1:7" ht="20.149999999999999" customHeight="1" x14ac:dyDescent="0.35">
      <c r="A9" s="334" t="s">
        <v>4</v>
      </c>
      <c r="B9" s="334"/>
      <c r="C9" s="19"/>
    </row>
    <row r="10" spans="1:7" ht="20.149999999999999" customHeight="1" x14ac:dyDescent="0.35">
      <c r="A10" s="334" t="s">
        <v>5</v>
      </c>
      <c r="B10" s="334"/>
      <c r="C10" s="19"/>
      <c r="G10" s="282" t="s">
        <v>6</v>
      </c>
    </row>
    <row r="11" spans="1:7" ht="20.149999999999999" customHeight="1" x14ac:dyDescent="0.35">
      <c r="A11" s="334" t="s">
        <v>7</v>
      </c>
      <c r="B11" s="334"/>
      <c r="C11" s="20"/>
      <c r="G11" s="282"/>
    </row>
    <row r="12" spans="1:7" ht="20.149999999999999" customHeight="1" x14ac:dyDescent="0.35">
      <c r="A12" s="334" t="s">
        <v>8</v>
      </c>
      <c r="B12" s="334"/>
      <c r="C12" s="20"/>
      <c r="G12" s="282"/>
    </row>
    <row r="13" spans="1:7" ht="20.149999999999999" customHeight="1" x14ac:dyDescent="0.35">
      <c r="A13" s="334" t="s">
        <v>9</v>
      </c>
      <c r="B13" s="334"/>
      <c r="C13" s="20"/>
      <c r="G13" s="282"/>
    </row>
    <row r="14" spans="1:7" ht="20.149999999999999" customHeight="1" x14ac:dyDescent="0.35">
      <c r="A14" s="339"/>
      <c r="B14" s="339"/>
      <c r="C14" s="283"/>
      <c r="G14" s="282"/>
    </row>
    <row r="15" spans="1:7" ht="20.149999999999999" customHeight="1" x14ac:dyDescent="0.35">
      <c r="A15" s="339" t="s">
        <v>10</v>
      </c>
      <c r="B15" s="339"/>
      <c r="C15" s="284"/>
      <c r="G15" s="282"/>
    </row>
    <row r="16" spans="1:7" ht="20.149999999999999" customHeight="1" x14ac:dyDescent="0.35">
      <c r="A16" s="334" t="s">
        <v>11</v>
      </c>
      <c r="B16" s="334"/>
      <c r="C16" s="21"/>
      <c r="G16" s="282" t="s">
        <v>12</v>
      </c>
    </row>
    <row r="17" spans="1:3" ht="20.149999999999999" customHeight="1" x14ac:dyDescent="0.35">
      <c r="A17" s="334" t="s">
        <v>13</v>
      </c>
      <c r="B17" s="334"/>
      <c r="C17" s="22"/>
    </row>
    <row r="18" spans="1:3" ht="20.149999999999999" customHeight="1" x14ac:dyDescent="0.35">
      <c r="A18" s="334" t="s">
        <v>14</v>
      </c>
      <c r="B18" s="334"/>
      <c r="C18" s="21"/>
    </row>
    <row r="19" spans="1:3" ht="20.149999999999999" customHeight="1" x14ac:dyDescent="0.35">
      <c r="A19" s="334" t="s">
        <v>15</v>
      </c>
      <c r="B19" s="334"/>
      <c r="C19" s="23"/>
    </row>
    <row r="20" spans="1:3" ht="20.149999999999999" customHeight="1" x14ac:dyDescent="0.35">
      <c r="A20" s="335" t="s">
        <v>16</v>
      </c>
      <c r="B20" s="335"/>
      <c r="C20" s="24"/>
    </row>
    <row r="21" spans="1:3" ht="20.149999999999999" customHeight="1" x14ac:dyDescent="0.35">
      <c r="A21" s="335" t="s">
        <v>17</v>
      </c>
      <c r="B21" s="335"/>
      <c r="C21" s="25"/>
    </row>
    <row r="22" spans="1:3" ht="20.149999999999999" customHeight="1" x14ac:dyDescent="0.35">
      <c r="A22" s="335" t="s">
        <v>18</v>
      </c>
      <c r="B22" s="335"/>
      <c r="C22" s="26"/>
    </row>
    <row r="23" spans="1:3" ht="20.149999999999999" customHeight="1" x14ac:dyDescent="0.35">
      <c r="A23" s="334" t="s">
        <v>19</v>
      </c>
      <c r="B23" s="334"/>
      <c r="C23" s="18"/>
    </row>
    <row r="24" spans="1:3" x14ac:dyDescent="0.35">
      <c r="A24" s="334"/>
      <c r="B24" s="334"/>
      <c r="C24" s="36"/>
    </row>
    <row r="25" spans="1:3" ht="104.25" customHeight="1" x14ac:dyDescent="0.35">
      <c r="A25" s="336" t="s">
        <v>20</v>
      </c>
      <c r="B25" s="336"/>
      <c r="C25" s="18"/>
    </row>
  </sheetData>
  <sheetProtection algorithmName="SHA-512" hashValue="Fd/Q20TZp3/5BdrO7Th6RNsRlgFbvluthM33wxa4JAQq/3xCuEpGyChpT5eOyniBaDMNbPwvhCycpSBvNXwTPg==" saltValue="whXU5Y2rdYGohLbHULbb2A==" spinCount="100000" sheet="1" objects="1" scenarios="1" formatCells="0" selectLockedCells="1"/>
  <mergeCells count="20">
    <mergeCell ref="A17:B17"/>
    <mergeCell ref="A16:B16"/>
    <mergeCell ref="A2:C2"/>
    <mergeCell ref="A7:C7"/>
    <mergeCell ref="A8:B8"/>
    <mergeCell ref="A9:B9"/>
    <mergeCell ref="A10:B10"/>
    <mergeCell ref="A11:B11"/>
    <mergeCell ref="A12:B12"/>
    <mergeCell ref="A13:B13"/>
    <mergeCell ref="A14:B14"/>
    <mergeCell ref="A15:B15"/>
    <mergeCell ref="A18:B18"/>
    <mergeCell ref="A19:B19"/>
    <mergeCell ref="A20:B20"/>
    <mergeCell ref="A21:B21"/>
    <mergeCell ref="A25:B25"/>
    <mergeCell ref="A24:B24"/>
    <mergeCell ref="A22:B22"/>
    <mergeCell ref="A23:B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E8" sqref="E8"/>
    </sheetView>
  </sheetViews>
  <sheetFormatPr defaultColWidth="9.1796875" defaultRowHeight="14.5" x14ac:dyDescent="0.35"/>
  <cols>
    <col min="1" max="1" width="29.81640625" style="17" customWidth="1"/>
    <col min="2" max="2" width="26.26953125" style="17" customWidth="1"/>
    <col min="3" max="3" width="26.1796875" style="17" customWidth="1"/>
    <col min="4" max="5" width="23.54296875" style="17" customWidth="1"/>
    <col min="6" max="6" width="50.7265625" style="17" customWidth="1"/>
    <col min="7" max="16384" width="9.1796875" style="17"/>
  </cols>
  <sheetData>
    <row r="1" spans="1:5" ht="31" x14ac:dyDescent="0.7">
      <c r="A1" s="27" t="s">
        <v>21</v>
      </c>
      <c r="B1"/>
      <c r="C1"/>
      <c r="D1"/>
    </row>
    <row r="2" spans="1:5" x14ac:dyDescent="0.35">
      <c r="A2" s="28" t="s">
        <v>22</v>
      </c>
    </row>
    <row r="3" spans="1:5" x14ac:dyDescent="0.35">
      <c r="A3" s="28" t="s">
        <v>23</v>
      </c>
    </row>
    <row r="4" spans="1:5" x14ac:dyDescent="0.35">
      <c r="A4" s="28" t="s">
        <v>24</v>
      </c>
    </row>
    <row r="5" spans="1:5" x14ac:dyDescent="0.35">
      <c r="A5"/>
      <c r="B5"/>
      <c r="C5"/>
      <c r="D5"/>
    </row>
    <row r="6" spans="1:5" ht="31" x14ac:dyDescent="0.7">
      <c r="A6"/>
      <c r="B6" s="342" t="s">
        <v>25</v>
      </c>
      <c r="C6" s="342"/>
      <c r="D6" s="342"/>
      <c r="E6" s="342"/>
    </row>
    <row r="7" spans="1:5" ht="18.5" x14ac:dyDescent="0.45">
      <c r="A7" s="29"/>
      <c r="B7" s="256" t="s">
        <v>26</v>
      </c>
      <c r="C7" s="256" t="s">
        <v>27</v>
      </c>
      <c r="D7" s="256" t="s">
        <v>532</v>
      </c>
      <c r="E7" s="256" t="s">
        <v>28</v>
      </c>
    </row>
    <row r="8" spans="1:5" ht="18.5" x14ac:dyDescent="0.45">
      <c r="A8" s="30" t="s">
        <v>29</v>
      </c>
      <c r="B8" s="31">
        <v>15</v>
      </c>
      <c r="C8" s="312">
        <f>'4. Resilience'!F2</f>
        <v>0</v>
      </c>
      <c r="D8" s="333" t="str">
        <f>IF(C8&gt;=10, "Y","")</f>
        <v/>
      </c>
      <c r="E8" s="332"/>
    </row>
    <row r="9" spans="1:5" ht="18.5" x14ac:dyDescent="0.45">
      <c r="A9" s="32" t="s">
        <v>30</v>
      </c>
      <c r="B9" s="31">
        <v>15</v>
      </c>
      <c r="C9" s="312">
        <f>'5. Whole Life Carbon'!H2</f>
        <v>0</v>
      </c>
      <c r="D9" s="333" t="str">
        <f>IF(C9&gt;=10, "Y","")</f>
        <v/>
      </c>
      <c r="E9" s="332"/>
    </row>
    <row r="10" spans="1:5" ht="18.5" x14ac:dyDescent="0.45">
      <c r="A10" s="33" t="s">
        <v>31</v>
      </c>
      <c r="B10" s="31">
        <v>15</v>
      </c>
      <c r="C10" s="312">
        <f>'6. Health&amp;Wellbeing'!H2</f>
        <v>0</v>
      </c>
      <c r="D10" s="333" t="str">
        <f>IF(C10&gt;=10, "Y","")</f>
        <v/>
      </c>
      <c r="E10" s="332"/>
    </row>
    <row r="11" spans="1:5" ht="18.5" x14ac:dyDescent="0.45">
      <c r="A11" s="34" t="s">
        <v>32</v>
      </c>
      <c r="B11" s="31">
        <v>15</v>
      </c>
      <c r="C11" s="312">
        <f>'7. Intelligence'!F2</f>
        <v>0</v>
      </c>
      <c r="D11" s="333" t="str">
        <f>IF(C11&gt;=10,"Y","")</f>
        <v/>
      </c>
      <c r="E11" s="332"/>
    </row>
    <row r="12" spans="1:5" ht="18.5" x14ac:dyDescent="0.45">
      <c r="A12" s="257" t="s">
        <v>33</v>
      </c>
      <c r="B12" s="31">
        <v>15</v>
      </c>
      <c r="C12" s="312">
        <f>D32</f>
        <v>0</v>
      </c>
      <c r="D12" s="333" t="str">
        <f>IF('8. Maintainability'!C64="Yes","Y","")</f>
        <v/>
      </c>
      <c r="E12" s="332"/>
    </row>
    <row r="13" spans="1:5" ht="18.5" x14ac:dyDescent="0.45">
      <c r="A13" s="35" t="s">
        <v>34</v>
      </c>
      <c r="B13" s="256">
        <v>75</v>
      </c>
      <c r="C13" s="312">
        <f>SUM(C8:C12)</f>
        <v>0</v>
      </c>
      <c r="D13" s="36"/>
      <c r="E13" s="332"/>
    </row>
    <row r="14" spans="1:5" x14ac:dyDescent="0.35">
      <c r="A14"/>
      <c r="B14"/>
      <c r="C14"/>
      <c r="D14"/>
    </row>
    <row r="15" spans="1:5" x14ac:dyDescent="0.35">
      <c r="A15"/>
      <c r="B15"/>
      <c r="C15"/>
      <c r="D15"/>
    </row>
    <row r="16" spans="1:5" x14ac:dyDescent="0.35">
      <c r="A16"/>
      <c r="B16"/>
      <c r="C16"/>
      <c r="D16"/>
    </row>
    <row r="17" spans="1:4" ht="18.5" x14ac:dyDescent="0.45">
      <c r="A17" s="340" t="s">
        <v>35</v>
      </c>
      <c r="B17" s="340"/>
      <c r="C17" s="256" t="s">
        <v>26</v>
      </c>
      <c r="D17" s="256" t="s">
        <v>27</v>
      </c>
    </row>
    <row r="18" spans="1:4" ht="18.5" x14ac:dyDescent="0.45">
      <c r="A18" s="30" t="s">
        <v>36</v>
      </c>
      <c r="B18" s="30" t="s">
        <v>37</v>
      </c>
      <c r="C18" s="31">
        <v>5</v>
      </c>
      <c r="D18" s="312">
        <f>'4. Resilience'!F3</f>
        <v>0</v>
      </c>
    </row>
    <row r="19" spans="1:4" ht="18.5" x14ac:dyDescent="0.45">
      <c r="A19" s="30" t="s">
        <v>38</v>
      </c>
      <c r="B19" s="30" t="s">
        <v>39</v>
      </c>
      <c r="C19" s="31">
        <v>5</v>
      </c>
      <c r="D19" s="312">
        <f>'4. Resilience'!F28</f>
        <v>0</v>
      </c>
    </row>
    <row r="20" spans="1:4" ht="18.5" x14ac:dyDescent="0.45">
      <c r="A20" s="30" t="s">
        <v>40</v>
      </c>
      <c r="B20" s="30" t="s">
        <v>41</v>
      </c>
      <c r="C20" s="31">
        <v>5</v>
      </c>
      <c r="D20" s="312">
        <f>'4. Resilience'!F54</f>
        <v>0</v>
      </c>
    </row>
    <row r="21" spans="1:4" ht="18.5" x14ac:dyDescent="0.45">
      <c r="A21" s="32" t="s">
        <v>42</v>
      </c>
      <c r="B21" s="32" t="s">
        <v>43</v>
      </c>
      <c r="C21" s="31">
        <v>5</v>
      </c>
      <c r="D21" s="312">
        <f>'5. Whole Life Carbon'!H3</f>
        <v>0</v>
      </c>
    </row>
    <row r="22" spans="1:4" ht="18.5" x14ac:dyDescent="0.45">
      <c r="A22" s="32" t="s">
        <v>44</v>
      </c>
      <c r="B22" s="32" t="s">
        <v>45</v>
      </c>
      <c r="C22" s="31">
        <v>5</v>
      </c>
      <c r="D22" s="312">
        <f>'5. Whole Life Carbon'!H31</f>
        <v>0</v>
      </c>
    </row>
    <row r="23" spans="1:4" ht="18.5" x14ac:dyDescent="0.45">
      <c r="A23" s="32" t="s">
        <v>46</v>
      </c>
      <c r="B23" s="32" t="s">
        <v>47</v>
      </c>
      <c r="C23" s="31">
        <v>5</v>
      </c>
      <c r="D23" s="312">
        <f>'5. Whole Life Carbon'!H70</f>
        <v>0</v>
      </c>
    </row>
    <row r="24" spans="1:4" ht="18.5" x14ac:dyDescent="0.45">
      <c r="A24" s="33" t="s">
        <v>48</v>
      </c>
      <c r="B24" s="33" t="s">
        <v>49</v>
      </c>
      <c r="C24" s="31">
        <v>5</v>
      </c>
      <c r="D24" s="312">
        <f>'6. Health&amp;Wellbeing'!H3</f>
        <v>0</v>
      </c>
    </row>
    <row r="25" spans="1:4" ht="18.5" x14ac:dyDescent="0.45">
      <c r="A25" s="33" t="s">
        <v>50</v>
      </c>
      <c r="B25" s="33" t="s">
        <v>51</v>
      </c>
      <c r="C25" s="31">
        <v>5</v>
      </c>
      <c r="D25" s="312">
        <f>'6. Health&amp;Wellbeing'!H45</f>
        <v>0</v>
      </c>
    </row>
    <row r="26" spans="1:4" ht="18.5" x14ac:dyDescent="0.45">
      <c r="A26" s="33" t="s">
        <v>52</v>
      </c>
      <c r="B26" s="33" t="s">
        <v>53</v>
      </c>
      <c r="C26" s="31">
        <v>5</v>
      </c>
      <c r="D26" s="312">
        <f>'6. Health&amp;Wellbeing'!H70</f>
        <v>0</v>
      </c>
    </row>
    <row r="27" spans="1:4" ht="18.5" x14ac:dyDescent="0.45">
      <c r="A27" s="34" t="s">
        <v>54</v>
      </c>
      <c r="B27" s="34" t="s">
        <v>55</v>
      </c>
      <c r="C27" s="31">
        <v>5</v>
      </c>
      <c r="D27" s="312">
        <f>'7. Intelligence'!F3</f>
        <v>0</v>
      </c>
    </row>
    <row r="28" spans="1:4" ht="18.5" x14ac:dyDescent="0.45">
      <c r="A28" s="34" t="s">
        <v>56</v>
      </c>
      <c r="B28" s="34" t="s">
        <v>57</v>
      </c>
      <c r="C28" s="31">
        <v>5</v>
      </c>
      <c r="D28" s="312">
        <f>'7. Intelligence'!F20</f>
        <v>0</v>
      </c>
    </row>
    <row r="29" spans="1:4" ht="18.5" x14ac:dyDescent="0.45">
      <c r="A29" s="34" t="s">
        <v>58</v>
      </c>
      <c r="B29" s="34" t="s">
        <v>59</v>
      </c>
      <c r="C29" s="31">
        <v>5</v>
      </c>
      <c r="D29" s="312">
        <f>'7. Intelligence'!F34</f>
        <v>0</v>
      </c>
    </row>
    <row r="30" spans="1:4" x14ac:dyDescent="0.35">
      <c r="A30"/>
      <c r="B30"/>
      <c r="C30"/>
      <c r="D30"/>
    </row>
    <row r="31" spans="1:4" ht="37" x14ac:dyDescent="0.35">
      <c r="A31" s="341" t="s">
        <v>33</v>
      </c>
      <c r="B31" s="37" t="s">
        <v>60</v>
      </c>
      <c r="C31" s="37" t="s">
        <v>61</v>
      </c>
      <c r="D31" s="37" t="s">
        <v>62</v>
      </c>
    </row>
    <row r="32" spans="1:4" ht="18.75" customHeight="1" x14ac:dyDescent="0.45">
      <c r="A32" s="341"/>
      <c r="B32" s="38">
        <f>'8. Maintainability'!C7</f>
        <v>71</v>
      </c>
      <c r="C32" s="312">
        <f>IF(AND('8. Maintainability'!E60=0,'8. Maintainability'!G60=""),0,IF('8. Maintainability'!E60=0,'8. Maintainability'!G60,'8. Maintainability'!E60))</f>
        <v>0</v>
      </c>
      <c r="D32" s="312">
        <f>IF(AND('8. Maintainability'!C63=0,'8. Maintainability'!G63=""),0,IF('8. Maintainability'!C63=0,'8. Maintainability'!G63,'8. Maintainability'!C63))</f>
        <v>0</v>
      </c>
    </row>
  </sheetData>
  <sheetProtection algorithmName="SHA-512" hashValue="RqFsSmEkGXG0AVdOLGGCv3eSFn4d0Rt/dBSnjFX7/OgY5eH4LZUoVNOogg0A2gCut0iKXaI4+xEI54Fx/+VhIQ==" saltValue="bTESAgUtKAhv5vns0U9thA==" spinCount="100000" sheet="1" formatCells="0" selectLockedCells="1"/>
  <mergeCells count="3">
    <mergeCell ref="A17:B17"/>
    <mergeCell ref="A31:A32"/>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zoomScaleNormal="100" workbookViewId="0">
      <selection activeCell="C3" sqref="C3"/>
    </sheetView>
  </sheetViews>
  <sheetFormatPr defaultColWidth="9.1796875" defaultRowHeight="14.5" x14ac:dyDescent="0.35"/>
  <cols>
    <col min="1" max="1" width="8.7265625" style="17" customWidth="1"/>
    <col min="2" max="2" width="65.7265625" style="17" customWidth="1"/>
    <col min="3" max="4" width="10.7265625" style="17" customWidth="1"/>
    <col min="5" max="6" width="50.7265625" style="17" customWidth="1"/>
    <col min="7" max="7" width="15.54296875" style="17" customWidth="1"/>
    <col min="8" max="8" width="17.26953125" style="17" customWidth="1"/>
    <col min="9" max="16384" width="9.1796875" style="17"/>
  </cols>
  <sheetData>
    <row r="1" spans="1:4" ht="31" x14ac:dyDescent="0.35">
      <c r="A1" s="346" t="s">
        <v>63</v>
      </c>
      <c r="B1" s="346"/>
      <c r="C1" s="39" t="s">
        <v>64</v>
      </c>
      <c r="D1" s="39" t="s">
        <v>65</v>
      </c>
    </row>
    <row r="2" spans="1:4" ht="21" x14ac:dyDescent="0.35">
      <c r="A2" s="345" t="s">
        <v>66</v>
      </c>
      <c r="B2" s="345"/>
      <c r="C2" s="319"/>
      <c r="D2" s="319"/>
    </row>
    <row r="3" spans="1:4" ht="15.5" x14ac:dyDescent="0.35">
      <c r="A3" s="36"/>
      <c r="B3" s="7" t="s">
        <v>67</v>
      </c>
      <c r="C3" s="16"/>
      <c r="D3" s="40" t="s">
        <v>68</v>
      </c>
    </row>
    <row r="4" spans="1:4" ht="15.5" x14ac:dyDescent="0.35">
      <c r="A4" s="344" t="s">
        <v>69</v>
      </c>
      <c r="B4" s="344"/>
      <c r="C4" s="320"/>
      <c r="D4" s="320"/>
    </row>
    <row r="5" spans="1:4" ht="15.5" x14ac:dyDescent="0.35">
      <c r="A5" s="258" t="s">
        <v>70</v>
      </c>
      <c r="B5" s="314" t="s">
        <v>71</v>
      </c>
      <c r="C5" s="16"/>
      <c r="D5" s="40" t="s">
        <v>72</v>
      </c>
    </row>
    <row r="6" spans="1:4" ht="31" x14ac:dyDescent="0.35">
      <c r="A6" s="343" t="s">
        <v>73</v>
      </c>
      <c r="B6" s="347" t="s">
        <v>74</v>
      </c>
      <c r="C6" s="16"/>
      <c r="D6" s="151" t="s">
        <v>75</v>
      </c>
    </row>
    <row r="7" spans="1:4" ht="15.5" x14ac:dyDescent="0.35">
      <c r="A7" s="343"/>
      <c r="B7" s="347"/>
      <c r="C7" s="16"/>
      <c r="D7" s="40" t="s">
        <v>76</v>
      </c>
    </row>
    <row r="8" spans="1:4" ht="15.5" x14ac:dyDescent="0.35">
      <c r="A8" s="343" t="s">
        <v>77</v>
      </c>
      <c r="B8" s="8" t="s">
        <v>78</v>
      </c>
      <c r="C8" s="16"/>
      <c r="D8" s="40" t="s">
        <v>72</v>
      </c>
    </row>
    <row r="9" spans="1:4" ht="15.5" x14ac:dyDescent="0.35">
      <c r="A9" s="343"/>
      <c r="B9" s="8" t="s">
        <v>79</v>
      </c>
      <c r="C9" s="16"/>
      <c r="D9" s="40" t="s">
        <v>72</v>
      </c>
    </row>
    <row r="10" spans="1:4" ht="15.5" x14ac:dyDescent="0.35">
      <c r="A10" s="343" t="s">
        <v>80</v>
      </c>
      <c r="B10" s="8" t="s">
        <v>81</v>
      </c>
      <c r="C10" s="321"/>
      <c r="D10" s="40"/>
    </row>
    <row r="11" spans="1:4" ht="15.5" x14ac:dyDescent="0.35">
      <c r="A11" s="343"/>
      <c r="B11" s="18" t="s">
        <v>82</v>
      </c>
      <c r="C11" s="16"/>
      <c r="D11" s="40" t="s">
        <v>72</v>
      </c>
    </row>
    <row r="12" spans="1:4" ht="15.5" x14ac:dyDescent="0.35">
      <c r="A12" s="343"/>
      <c r="B12" s="8" t="s">
        <v>83</v>
      </c>
      <c r="C12" s="16"/>
      <c r="D12" s="40" t="s">
        <v>72</v>
      </c>
    </row>
    <row r="13" spans="1:4" ht="15.5" x14ac:dyDescent="0.35">
      <c r="A13" s="343"/>
      <c r="B13" s="8" t="s">
        <v>84</v>
      </c>
      <c r="C13" s="16"/>
      <c r="D13" s="40" t="s">
        <v>72</v>
      </c>
    </row>
    <row r="14" spans="1:4" ht="15.5" x14ac:dyDescent="0.35">
      <c r="A14" s="258" t="s">
        <v>85</v>
      </c>
      <c r="B14" s="18" t="s">
        <v>86</v>
      </c>
      <c r="C14" s="16"/>
      <c r="D14" s="40" t="s">
        <v>68</v>
      </c>
    </row>
    <row r="15" spans="1:4" ht="15.5" x14ac:dyDescent="0.35">
      <c r="A15" s="258" t="s">
        <v>87</v>
      </c>
      <c r="B15" s="8" t="s">
        <v>88</v>
      </c>
      <c r="C15" s="16"/>
      <c r="D15" s="40" t="s">
        <v>68</v>
      </c>
    </row>
    <row r="16" spans="1:4" ht="15.5" x14ac:dyDescent="0.35">
      <c r="A16" s="258" t="s">
        <v>89</v>
      </c>
      <c r="B16" s="8" t="s">
        <v>90</v>
      </c>
      <c r="C16" s="16"/>
      <c r="D16" s="40" t="s">
        <v>68</v>
      </c>
    </row>
    <row r="17" spans="1:4" ht="15.5" x14ac:dyDescent="0.35">
      <c r="A17" s="258" t="s">
        <v>91</v>
      </c>
      <c r="B17" s="8" t="s">
        <v>92</v>
      </c>
      <c r="C17" s="16"/>
      <c r="D17" s="40" t="s">
        <v>68</v>
      </c>
    </row>
    <row r="18" spans="1:4" ht="15.5" x14ac:dyDescent="0.35">
      <c r="A18" s="258" t="s">
        <v>93</v>
      </c>
      <c r="B18" s="8" t="s">
        <v>94</v>
      </c>
      <c r="C18" s="16"/>
      <c r="D18" s="40" t="s">
        <v>68</v>
      </c>
    </row>
    <row r="19" spans="1:4" ht="15.5" x14ac:dyDescent="0.35">
      <c r="A19" s="258" t="s">
        <v>95</v>
      </c>
      <c r="B19" s="8" t="s">
        <v>96</v>
      </c>
      <c r="C19" s="16"/>
      <c r="D19" s="40" t="s">
        <v>76</v>
      </c>
    </row>
    <row r="20" spans="1:4" ht="31" x14ac:dyDescent="0.35">
      <c r="A20" s="258" t="s">
        <v>97</v>
      </c>
      <c r="B20" s="9" t="s">
        <v>98</v>
      </c>
      <c r="C20" s="42"/>
      <c r="D20" s="40" t="s">
        <v>72</v>
      </c>
    </row>
  </sheetData>
  <sheetProtection algorithmName="SHA-512" hashValue="dW4uy3OB5W7eUlmZNjPPs1pUjkaiXXRITzXyaiIsOPGwh61GRo9gnM30DOq23PH0SOc3a5GE1EqZKu740gBF7w==" saltValue="zL8rE69eJbyZhJ7Kymev5w==" spinCount="100000" sheet="1" objects="1" scenarios="1" formatCells="0" selectLockedCells="1"/>
  <mergeCells count="7">
    <mergeCell ref="A8:A9"/>
    <mergeCell ref="A10:A13"/>
    <mergeCell ref="A4:B4"/>
    <mergeCell ref="A2:B2"/>
    <mergeCell ref="A1:B1"/>
    <mergeCell ref="A6:A7"/>
    <mergeCell ref="B6:B7"/>
  </mergeCells>
  <dataValidations count="10">
    <dataValidation type="decimal" allowBlank="1" showInputMessage="1" showErrorMessage="1" sqref="C7 C19" xr:uid="{00000000-0002-0000-0200-000000000000}">
      <formula1>0</formula1>
      <formula2>100</formula2>
    </dataValidation>
    <dataValidation type="list" allowBlank="1" showInputMessage="1" showErrorMessage="1" sqref="C3 C14:C18" xr:uid="{00000000-0002-0000-0200-000001000000}">
      <formula1>"Y,N"</formula1>
    </dataValidation>
    <dataValidation type="decimal" allowBlank="1" showInputMessage="1" showErrorMessage="1" sqref="C10" xr:uid="{3645E296-15B7-46F1-B707-257E63DDCAE9}">
      <formula1>0</formula1>
      <formula2>1000</formula2>
    </dataValidation>
    <dataValidation type="decimal" allowBlank="1" showInputMessage="1" showErrorMessage="1" sqref="C20" xr:uid="{E2697052-56ED-459D-B998-FFD5A896C664}">
      <formula1>0</formula1>
      <formula2>1000000</formula2>
    </dataValidation>
    <dataValidation type="list" allowBlank="1" showInputMessage="1" showErrorMessage="1" sqref="C6" xr:uid="{25D50DC9-5E38-4124-9819-4832C591487C}">
      <formula1>"1,2,3"</formula1>
    </dataValidation>
    <dataValidation type="whole" allowBlank="1" showInputMessage="1" showErrorMessage="1" sqref="C13" xr:uid="{12B874A7-A8FA-45F2-9188-3B53DC60C93E}">
      <formula1>0</formula1>
      <formula2>10</formula2>
    </dataValidation>
    <dataValidation type="whole" allowBlank="1" showInputMessage="1" showErrorMessage="1" sqref="C11" xr:uid="{61778900-7DA4-4316-A00B-1DA55E02053C}">
      <formula1>0</formula1>
      <formula2>4</formula2>
    </dataValidation>
    <dataValidation type="decimal" allowBlank="1" showInputMessage="1" showErrorMessage="1" sqref="C8" xr:uid="{5CDD7CB2-585E-4AF5-A547-B23C0F01B536}">
      <formula1>0</formula1>
      <formula2>10</formula2>
    </dataValidation>
    <dataValidation type="whole" allowBlank="1" showInputMessage="1" showErrorMessage="1" sqref="C9 C12" xr:uid="{308356C0-67A9-4D30-86CA-59E8FAB48627}">
      <formula1>0</formula1>
      <formula2>5</formula2>
    </dataValidation>
    <dataValidation type="decimal" allowBlank="1" showInputMessage="1" showErrorMessage="1" sqref="C5" xr:uid="{9D1911AD-5868-46EB-AC2C-6FE0EFA34434}">
      <formula1>0</formula1>
      <formula2>100000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workbookViewId="0">
      <selection activeCell="C6" sqref="C6"/>
    </sheetView>
  </sheetViews>
  <sheetFormatPr defaultColWidth="9.1796875" defaultRowHeight="15.5" x14ac:dyDescent="0.35"/>
  <cols>
    <col min="1" max="1" width="8.26953125" style="300" customWidth="1"/>
    <col min="2" max="2" width="65.7265625" style="17" customWidth="1"/>
    <col min="3" max="4" width="10.7265625" style="17" customWidth="1"/>
    <col min="5" max="5" width="19" style="17" customWidth="1"/>
    <col min="6" max="6" width="10.7265625" style="17" customWidth="1"/>
    <col min="7" max="7" width="30.7265625" style="17" customWidth="1"/>
    <col min="8" max="8" width="8.7265625" style="17" customWidth="1"/>
    <col min="9" max="9" width="10.7265625" style="17" customWidth="1"/>
    <col min="10" max="11" width="15.7265625" style="17" customWidth="1"/>
    <col min="12" max="12" width="50.7265625" style="17" customWidth="1"/>
    <col min="13" max="16384" width="9.1796875" style="17"/>
  </cols>
  <sheetData>
    <row r="1" spans="1:11" ht="31" x14ac:dyDescent="0.35">
      <c r="A1" s="2"/>
      <c r="B1" s="3" t="s">
        <v>99</v>
      </c>
      <c r="C1" s="39" t="s">
        <v>64</v>
      </c>
      <c r="D1" s="39" t="s">
        <v>65</v>
      </c>
      <c r="E1" s="43" t="s">
        <v>100</v>
      </c>
      <c r="F1" s="39" t="s">
        <v>101</v>
      </c>
      <c r="G1" s="3" t="s">
        <v>102</v>
      </c>
    </row>
    <row r="2" spans="1:11" ht="21" x14ac:dyDescent="0.35">
      <c r="A2" s="363" t="s">
        <v>29</v>
      </c>
      <c r="B2" s="364"/>
      <c r="C2" s="364"/>
      <c r="D2" s="365"/>
      <c r="E2" s="44">
        <v>15</v>
      </c>
      <c r="F2" s="45">
        <f>MIN(SUM(F3,F28,F54,F66), 15)</f>
        <v>0</v>
      </c>
      <c r="G2" s="46" t="s">
        <v>103</v>
      </c>
      <c r="H2" s="348"/>
      <c r="I2" s="349"/>
      <c r="J2" s="349"/>
      <c r="K2" s="349"/>
    </row>
    <row r="3" spans="1:11" x14ac:dyDescent="0.35">
      <c r="A3" s="47" t="s">
        <v>104</v>
      </c>
      <c r="B3" s="377" t="s">
        <v>105</v>
      </c>
      <c r="C3" s="377"/>
      <c r="D3" s="377"/>
      <c r="E3" s="48">
        <v>5</v>
      </c>
      <c r="F3" s="49">
        <f>MIN(SUM(F27,F23,F20,F16,F8),5)</f>
        <v>0</v>
      </c>
      <c r="G3" s="47"/>
      <c r="H3" s="348"/>
      <c r="I3" s="349"/>
      <c r="J3" s="349"/>
      <c r="K3" s="349"/>
    </row>
    <row r="4" spans="1:11" x14ac:dyDescent="0.35">
      <c r="A4" s="50" t="s">
        <v>106</v>
      </c>
      <c r="B4" s="51" t="s">
        <v>107</v>
      </c>
      <c r="C4" s="52"/>
      <c r="D4" s="53"/>
      <c r="E4" s="54"/>
      <c r="F4" s="55"/>
      <c r="G4" s="56"/>
      <c r="H4" s="348"/>
      <c r="I4" s="349"/>
      <c r="J4" s="349"/>
      <c r="K4" s="349"/>
    </row>
    <row r="5" spans="1:11" x14ac:dyDescent="0.35">
      <c r="A5" s="57" t="s">
        <v>108</v>
      </c>
      <c r="B5" s="58" t="s">
        <v>109</v>
      </c>
      <c r="C5" s="59"/>
      <c r="D5" s="60"/>
      <c r="E5" s="61"/>
      <c r="F5" s="62"/>
      <c r="G5" s="63"/>
      <c r="H5" s="348"/>
      <c r="I5" s="349"/>
      <c r="J5" s="349"/>
      <c r="K5" s="349"/>
    </row>
    <row r="6" spans="1:11" ht="31" x14ac:dyDescent="0.35">
      <c r="A6" s="6" t="s">
        <v>70</v>
      </c>
      <c r="B6" s="7" t="s">
        <v>110</v>
      </c>
      <c r="C6" s="4"/>
      <c r="D6" s="40" t="s">
        <v>68</v>
      </c>
      <c r="E6" s="260" t="s">
        <v>111</v>
      </c>
      <c r="F6" s="64">
        <f>IF(C6="Y",1,0)</f>
        <v>0</v>
      </c>
      <c r="G6" s="153"/>
      <c r="H6" s="348"/>
      <c r="I6" s="349"/>
      <c r="J6" s="349"/>
      <c r="K6" s="349"/>
    </row>
    <row r="7" spans="1:11" ht="46.5" x14ac:dyDescent="0.35">
      <c r="A7" s="6" t="s">
        <v>73</v>
      </c>
      <c r="B7" s="7" t="s">
        <v>112</v>
      </c>
      <c r="C7" s="4"/>
      <c r="D7" s="40" t="s">
        <v>68</v>
      </c>
      <c r="E7" s="268" t="s">
        <v>111</v>
      </c>
      <c r="F7" s="64">
        <f>IF((C7="Y")*AND(C6="Y"),1,0)</f>
        <v>0</v>
      </c>
      <c r="G7" s="153"/>
      <c r="H7" s="348"/>
      <c r="I7" s="349"/>
      <c r="J7" s="349"/>
      <c r="K7" s="349"/>
    </row>
    <row r="8" spans="1:11" x14ac:dyDescent="0.35">
      <c r="A8" s="65"/>
      <c r="B8" s="361" t="s">
        <v>113</v>
      </c>
      <c r="C8" s="362"/>
      <c r="D8" s="362"/>
      <c r="E8" s="362"/>
      <c r="F8" s="66">
        <f>MIN((F6+F7),2)</f>
        <v>0</v>
      </c>
      <c r="G8" s="67"/>
      <c r="H8" s="348"/>
      <c r="I8" s="349"/>
      <c r="J8" s="349"/>
      <c r="K8" s="349"/>
    </row>
    <row r="9" spans="1:11" x14ac:dyDescent="0.35">
      <c r="A9" s="68" t="s">
        <v>114</v>
      </c>
      <c r="B9" s="69" t="s">
        <v>115</v>
      </c>
      <c r="C9" s="70"/>
      <c r="D9" s="71"/>
      <c r="E9" s="61"/>
      <c r="F9" s="57"/>
      <c r="G9" s="63"/>
      <c r="H9" s="348"/>
      <c r="I9" s="349"/>
      <c r="J9" s="349"/>
      <c r="K9" s="349"/>
    </row>
    <row r="10" spans="1:11" ht="31" x14ac:dyDescent="0.35">
      <c r="A10" s="373" t="s">
        <v>70</v>
      </c>
      <c r="B10" s="72" t="s">
        <v>116</v>
      </c>
      <c r="C10" s="73"/>
      <c r="D10" s="74"/>
      <c r="E10" s="75"/>
      <c r="F10" s="8"/>
      <c r="G10" s="298"/>
      <c r="H10" s="348"/>
      <c r="I10" s="349"/>
      <c r="J10" s="349"/>
      <c r="K10" s="349"/>
    </row>
    <row r="11" spans="1:11" x14ac:dyDescent="0.35">
      <c r="A11" s="374"/>
      <c r="B11" s="76" t="s">
        <v>117</v>
      </c>
      <c r="C11" s="77" t="s">
        <v>118</v>
      </c>
      <c r="D11" s="78" t="s">
        <v>118</v>
      </c>
      <c r="E11" s="260" t="s">
        <v>118</v>
      </c>
      <c r="F11" s="78" t="s">
        <v>118</v>
      </c>
      <c r="G11" s="298"/>
      <c r="H11" s="348"/>
      <c r="I11" s="349"/>
      <c r="J11" s="349"/>
      <c r="K11" s="349"/>
    </row>
    <row r="12" spans="1:11" x14ac:dyDescent="0.35">
      <c r="A12" s="374"/>
      <c r="B12" s="76" t="s">
        <v>119</v>
      </c>
      <c r="C12" s="77" t="s">
        <v>118</v>
      </c>
      <c r="D12" s="78" t="s">
        <v>118</v>
      </c>
      <c r="E12" s="260" t="s">
        <v>118</v>
      </c>
      <c r="F12" s="78" t="s">
        <v>118</v>
      </c>
      <c r="G12" s="298"/>
      <c r="H12" s="348"/>
      <c r="I12" s="349"/>
      <c r="J12" s="349"/>
      <c r="K12" s="349"/>
    </row>
    <row r="13" spans="1:11" x14ac:dyDescent="0.35">
      <c r="A13" s="374"/>
      <c r="B13" s="76" t="s">
        <v>120</v>
      </c>
      <c r="C13" s="77" t="s">
        <v>118</v>
      </c>
      <c r="D13" s="78" t="s">
        <v>118</v>
      </c>
      <c r="E13" s="260" t="s">
        <v>118</v>
      </c>
      <c r="F13" s="78" t="s">
        <v>118</v>
      </c>
      <c r="G13" s="298"/>
      <c r="H13" s="348"/>
      <c r="I13" s="349"/>
      <c r="J13" s="349"/>
      <c r="K13" s="349"/>
    </row>
    <row r="14" spans="1:11" x14ac:dyDescent="0.35">
      <c r="A14" s="375" t="s">
        <v>73</v>
      </c>
      <c r="B14" s="75" t="s">
        <v>121</v>
      </c>
      <c r="C14" s="77" t="s">
        <v>118</v>
      </c>
      <c r="D14" s="78" t="s">
        <v>118</v>
      </c>
      <c r="E14" s="260" t="s">
        <v>118</v>
      </c>
      <c r="F14" s="78" t="s">
        <v>118</v>
      </c>
      <c r="G14" s="298"/>
      <c r="H14" s="348"/>
      <c r="I14" s="349"/>
      <c r="J14" s="349"/>
      <c r="K14" s="349"/>
    </row>
    <row r="15" spans="1:11" x14ac:dyDescent="0.35">
      <c r="A15" s="375"/>
      <c r="B15" s="74" t="s">
        <v>122</v>
      </c>
      <c r="C15" s="152"/>
      <c r="D15" s="41" t="s">
        <v>76</v>
      </c>
      <c r="E15" s="79" t="s">
        <v>111</v>
      </c>
      <c r="F15" s="271">
        <f>IF((C15&gt;=90),1,0)</f>
        <v>0</v>
      </c>
      <c r="G15" s="153"/>
      <c r="H15" s="348"/>
      <c r="I15" s="349"/>
      <c r="J15" s="349"/>
      <c r="K15" s="349"/>
    </row>
    <row r="16" spans="1:11" x14ac:dyDescent="0.35">
      <c r="A16" s="80"/>
      <c r="B16" s="361" t="s">
        <v>123</v>
      </c>
      <c r="C16" s="362"/>
      <c r="D16" s="362"/>
      <c r="E16" s="376"/>
      <c r="F16" s="66">
        <f>F15</f>
        <v>0</v>
      </c>
      <c r="G16" s="81"/>
      <c r="H16" s="348"/>
      <c r="I16" s="349"/>
      <c r="J16" s="349"/>
      <c r="K16" s="349"/>
    </row>
    <row r="17" spans="1:11" x14ac:dyDescent="0.35">
      <c r="A17" s="50" t="s">
        <v>124</v>
      </c>
      <c r="B17" s="82" t="s">
        <v>125</v>
      </c>
      <c r="C17" s="83"/>
      <c r="D17" s="84"/>
      <c r="E17" s="85"/>
      <c r="F17" s="86"/>
      <c r="G17" s="87"/>
      <c r="H17" s="348"/>
      <c r="I17" s="349"/>
      <c r="J17" s="349"/>
      <c r="K17" s="349"/>
    </row>
    <row r="18" spans="1:11" x14ac:dyDescent="0.35">
      <c r="A18" s="57" t="s">
        <v>126</v>
      </c>
      <c r="B18" s="88" t="s">
        <v>127</v>
      </c>
      <c r="C18" s="89"/>
      <c r="D18" s="90"/>
      <c r="E18" s="61"/>
      <c r="F18" s="91"/>
      <c r="G18" s="63"/>
      <c r="H18" s="348"/>
      <c r="I18" s="349"/>
      <c r="J18" s="349"/>
      <c r="K18" s="349"/>
    </row>
    <row r="19" spans="1:11" ht="108.5" x14ac:dyDescent="0.35">
      <c r="A19" s="8"/>
      <c r="B19" s="92" t="s">
        <v>128</v>
      </c>
      <c r="C19" s="4"/>
      <c r="D19" s="40" t="s">
        <v>68</v>
      </c>
      <c r="E19" s="260" t="s">
        <v>129</v>
      </c>
      <c r="F19" s="64">
        <f>IF(C19="Y",2,0)</f>
        <v>0</v>
      </c>
      <c r="G19" s="153"/>
      <c r="H19" s="348"/>
      <c r="I19" s="349"/>
      <c r="J19" s="349"/>
      <c r="K19" s="349"/>
    </row>
    <row r="20" spans="1:11" x14ac:dyDescent="0.35">
      <c r="A20" s="93"/>
      <c r="B20" s="361" t="s">
        <v>130</v>
      </c>
      <c r="C20" s="362"/>
      <c r="D20" s="362"/>
      <c r="E20" s="362"/>
      <c r="F20" s="66">
        <f>F19</f>
        <v>0</v>
      </c>
      <c r="G20" s="94"/>
      <c r="H20" s="348"/>
      <c r="I20" s="349"/>
      <c r="J20" s="349"/>
      <c r="K20" s="349"/>
    </row>
    <row r="21" spans="1:11" x14ac:dyDescent="0.35">
      <c r="A21" s="57" t="s">
        <v>131</v>
      </c>
      <c r="B21" s="88" t="s">
        <v>132</v>
      </c>
      <c r="C21" s="95"/>
      <c r="D21" s="96"/>
      <c r="E21" s="61"/>
      <c r="F21" s="91"/>
      <c r="G21" s="63"/>
      <c r="H21" s="348"/>
      <c r="I21" s="349"/>
      <c r="J21" s="349"/>
      <c r="K21" s="349"/>
    </row>
    <row r="22" spans="1:11" ht="62" x14ac:dyDescent="0.35">
      <c r="A22" s="6"/>
      <c r="B22" s="97" t="s">
        <v>133</v>
      </c>
      <c r="C22" s="152"/>
      <c r="D22" s="41" t="s">
        <v>76</v>
      </c>
      <c r="E22" s="98" t="s">
        <v>134</v>
      </c>
      <c r="F22" s="99">
        <f>IF(AND(C22&gt;=50, C22&lt;80),0.5,0) + IF(C22&gt;=80,1,0)</f>
        <v>0</v>
      </c>
      <c r="G22" s="154"/>
      <c r="H22" s="348"/>
      <c r="I22" s="349"/>
      <c r="J22" s="349"/>
      <c r="K22" s="349"/>
    </row>
    <row r="23" spans="1:11" x14ac:dyDescent="0.35">
      <c r="A23" s="65"/>
      <c r="B23" s="361" t="s">
        <v>135</v>
      </c>
      <c r="C23" s="362"/>
      <c r="D23" s="362"/>
      <c r="E23" s="362"/>
      <c r="F23" s="100">
        <f>MIN(F22, 1)</f>
        <v>0</v>
      </c>
      <c r="G23" s="65"/>
      <c r="H23" s="348"/>
      <c r="I23" s="349"/>
      <c r="J23" s="349"/>
      <c r="K23" s="349"/>
    </row>
    <row r="24" spans="1:11" x14ac:dyDescent="0.35">
      <c r="A24" s="50" t="s">
        <v>136</v>
      </c>
      <c r="B24" s="82" t="s">
        <v>137</v>
      </c>
      <c r="C24" s="101"/>
      <c r="D24" s="102"/>
      <c r="E24" s="85"/>
      <c r="F24" s="85"/>
      <c r="G24" s="87"/>
      <c r="H24" s="348"/>
      <c r="I24" s="349"/>
      <c r="J24" s="349"/>
      <c r="K24" s="349"/>
    </row>
    <row r="25" spans="1:11" x14ac:dyDescent="0.35">
      <c r="A25" s="57" t="s">
        <v>136</v>
      </c>
      <c r="B25" s="88" t="s">
        <v>138</v>
      </c>
      <c r="C25" s="89"/>
      <c r="D25" s="90"/>
      <c r="E25" s="61"/>
      <c r="F25" s="103"/>
      <c r="G25" s="104"/>
      <c r="H25" s="348"/>
      <c r="I25" s="349"/>
      <c r="J25" s="349"/>
      <c r="K25" s="349"/>
    </row>
    <row r="26" spans="1:11" ht="46.5" x14ac:dyDescent="0.35">
      <c r="A26" s="8"/>
      <c r="B26" s="92" t="s">
        <v>139</v>
      </c>
      <c r="C26" s="4"/>
      <c r="D26" s="40" t="s">
        <v>68</v>
      </c>
      <c r="E26" s="260" t="s">
        <v>129</v>
      </c>
      <c r="F26" s="64">
        <f>IF(C26="Y",2,0)</f>
        <v>0</v>
      </c>
      <c r="G26" s="153"/>
      <c r="H26" s="348"/>
      <c r="I26" s="349"/>
      <c r="J26" s="349"/>
      <c r="K26" s="349"/>
    </row>
    <row r="27" spans="1:11" x14ac:dyDescent="0.35">
      <c r="A27" s="67"/>
      <c r="B27" s="361" t="s">
        <v>140</v>
      </c>
      <c r="C27" s="362"/>
      <c r="D27" s="362"/>
      <c r="E27" s="362"/>
      <c r="F27" s="100">
        <f>F26</f>
        <v>0</v>
      </c>
      <c r="G27" s="94"/>
      <c r="H27" s="348"/>
      <c r="I27" s="349"/>
      <c r="J27" s="349"/>
      <c r="K27" s="349"/>
    </row>
    <row r="28" spans="1:11" x14ac:dyDescent="0.35">
      <c r="A28" s="47" t="s">
        <v>141</v>
      </c>
      <c r="B28" s="378" t="s">
        <v>142</v>
      </c>
      <c r="C28" s="379"/>
      <c r="D28" s="380"/>
      <c r="E28" s="105">
        <v>5</v>
      </c>
      <c r="F28" s="106">
        <f>MIN(SUM(F53,F47,F39,F35),5)</f>
        <v>0</v>
      </c>
      <c r="G28" s="107"/>
      <c r="H28" s="348"/>
      <c r="I28" s="349"/>
      <c r="J28" s="349"/>
      <c r="K28" s="349"/>
    </row>
    <row r="29" spans="1:11" x14ac:dyDescent="0.35">
      <c r="A29" s="108" t="s">
        <v>143</v>
      </c>
      <c r="B29" s="368" t="s">
        <v>144</v>
      </c>
      <c r="C29" s="369"/>
      <c r="D29" s="109"/>
      <c r="E29" s="110"/>
      <c r="F29" s="111"/>
      <c r="G29" s="56"/>
      <c r="H29" s="348"/>
      <c r="I29" s="349"/>
      <c r="J29" s="349"/>
      <c r="K29" s="349"/>
    </row>
    <row r="30" spans="1:11" x14ac:dyDescent="0.35">
      <c r="A30" s="112" t="s">
        <v>145</v>
      </c>
      <c r="B30" s="113" t="s">
        <v>146</v>
      </c>
      <c r="C30" s="113"/>
      <c r="D30" s="114"/>
      <c r="E30" s="61"/>
      <c r="F30" s="115"/>
      <c r="G30" s="116"/>
      <c r="H30" s="348"/>
      <c r="I30" s="349"/>
      <c r="J30" s="349"/>
      <c r="K30" s="349"/>
    </row>
    <row r="31" spans="1:11" ht="31" x14ac:dyDescent="0.35">
      <c r="A31" s="366" t="s">
        <v>70</v>
      </c>
      <c r="B31" s="117" t="s">
        <v>147</v>
      </c>
      <c r="C31" s="118"/>
      <c r="D31" s="119"/>
      <c r="E31" s="119"/>
      <c r="F31" s="120"/>
      <c r="G31" s="153"/>
      <c r="I31" s="121"/>
      <c r="J31" s="122" t="s">
        <v>148</v>
      </c>
      <c r="K31" s="123"/>
    </row>
    <row r="32" spans="1:11" ht="26.5" customHeight="1" x14ac:dyDescent="0.35">
      <c r="A32" s="367"/>
      <c r="B32" s="119" t="s">
        <v>149</v>
      </c>
      <c r="C32" s="155"/>
      <c r="D32" s="41" t="s">
        <v>72</v>
      </c>
      <c r="E32" s="371" t="s">
        <v>150</v>
      </c>
      <c r="F32" s="358">
        <f>MIN(SUM(C32*0.25,C33*0.5),0.5)</f>
        <v>0</v>
      </c>
      <c r="G32" s="153"/>
      <c r="I32" s="124">
        <f>IF(C32&gt;0,C32*0.25,0)</f>
        <v>0</v>
      </c>
      <c r="J32" s="350">
        <f>IF(SUM(I32+I33)&gt;=0.5,"0.5",I32+I33)</f>
        <v>0</v>
      </c>
      <c r="K32" s="351" t="s">
        <v>151</v>
      </c>
    </row>
    <row r="33" spans="1:11" ht="27" customHeight="1" x14ac:dyDescent="0.35">
      <c r="A33" s="370"/>
      <c r="B33" s="119" t="s">
        <v>152</v>
      </c>
      <c r="C33" s="155"/>
      <c r="D33" s="41" t="s">
        <v>72</v>
      </c>
      <c r="E33" s="372"/>
      <c r="F33" s="359"/>
      <c r="G33" s="153"/>
      <c r="I33" s="124">
        <f>IF(C33&gt;0,C33*0.5,0)</f>
        <v>0</v>
      </c>
      <c r="J33" s="350"/>
      <c r="K33" s="352"/>
    </row>
    <row r="34" spans="1:11" ht="39.75" customHeight="1" x14ac:dyDescent="0.35">
      <c r="A34" s="278" t="s">
        <v>73</v>
      </c>
      <c r="B34" s="119" t="s">
        <v>153</v>
      </c>
      <c r="C34" s="155"/>
      <c r="D34" s="41" t="s">
        <v>72</v>
      </c>
      <c r="E34" s="125" t="s">
        <v>154</v>
      </c>
      <c r="F34" s="64">
        <f>IF(I34&gt;=0.5,0.5,I34)</f>
        <v>0</v>
      </c>
      <c r="G34" s="153"/>
      <c r="I34" s="124">
        <f>IF(C34&gt;0,C34*0.25,0)</f>
        <v>0</v>
      </c>
      <c r="J34" s="126">
        <f>IF(I34&gt;=0.5,"0.5",I34)</f>
        <v>0</v>
      </c>
      <c r="K34" s="258" t="s">
        <v>151</v>
      </c>
    </row>
    <row r="35" spans="1:11" x14ac:dyDescent="0.35">
      <c r="A35" s="127"/>
      <c r="B35" s="361" t="s">
        <v>155</v>
      </c>
      <c r="C35" s="362"/>
      <c r="D35" s="362"/>
      <c r="E35" s="362"/>
      <c r="F35" s="128">
        <f>MIN(F32+F34,1)</f>
        <v>0</v>
      </c>
      <c r="G35" s="65"/>
      <c r="H35" s="348"/>
      <c r="I35" s="349"/>
      <c r="J35" s="349"/>
      <c r="K35" s="349"/>
    </row>
    <row r="36" spans="1:11" x14ac:dyDescent="0.35">
      <c r="A36" s="112" t="s">
        <v>156</v>
      </c>
      <c r="B36" s="113" t="s">
        <v>157</v>
      </c>
      <c r="C36" s="113"/>
      <c r="D36" s="113"/>
      <c r="E36" s="61"/>
      <c r="F36" s="129"/>
      <c r="G36" s="63"/>
      <c r="H36" s="348"/>
      <c r="I36" s="349"/>
      <c r="J36" s="349"/>
      <c r="K36" s="349"/>
    </row>
    <row r="37" spans="1:11" ht="31" x14ac:dyDescent="0.35">
      <c r="A37" s="259" t="s">
        <v>70</v>
      </c>
      <c r="B37" s="130" t="s">
        <v>158</v>
      </c>
      <c r="C37" s="4"/>
      <c r="D37" s="40" t="s">
        <v>68</v>
      </c>
      <c r="E37" s="260" t="s">
        <v>159</v>
      </c>
      <c r="F37" s="64">
        <f>IF(C37="Y",0.5,0)</f>
        <v>0</v>
      </c>
      <c r="G37" s="154"/>
      <c r="H37" s="348"/>
      <c r="I37" s="349"/>
      <c r="J37" s="349"/>
      <c r="K37" s="349"/>
    </row>
    <row r="38" spans="1:11" ht="31" x14ac:dyDescent="0.35">
      <c r="A38" s="278" t="s">
        <v>73</v>
      </c>
      <c r="B38" s="131" t="s">
        <v>160</v>
      </c>
      <c r="C38" s="77" t="s">
        <v>118</v>
      </c>
      <c r="D38" s="78" t="s">
        <v>118</v>
      </c>
      <c r="E38" s="260" t="s">
        <v>118</v>
      </c>
      <c r="F38" s="78" t="s">
        <v>118</v>
      </c>
      <c r="G38" s="156"/>
      <c r="H38" s="348"/>
      <c r="I38" s="349"/>
      <c r="J38" s="349"/>
      <c r="K38" s="349"/>
    </row>
    <row r="39" spans="1:11" x14ac:dyDescent="0.35">
      <c r="A39" s="127"/>
      <c r="B39" s="361" t="s">
        <v>161</v>
      </c>
      <c r="C39" s="362"/>
      <c r="D39" s="362"/>
      <c r="E39" s="362"/>
      <c r="F39" s="66">
        <f>MIN(SUM(F37,F38),2)</f>
        <v>0</v>
      </c>
      <c r="G39" s="132"/>
      <c r="H39" s="348"/>
      <c r="I39" s="349"/>
      <c r="J39" s="349"/>
      <c r="K39" s="349"/>
    </row>
    <row r="40" spans="1:11" x14ac:dyDescent="0.35">
      <c r="A40" s="108" t="s">
        <v>162</v>
      </c>
      <c r="B40" s="133" t="s">
        <v>163</v>
      </c>
      <c r="C40" s="134"/>
      <c r="D40" s="109"/>
      <c r="E40" s="110"/>
      <c r="F40" s="111"/>
      <c r="G40" s="56"/>
      <c r="H40" s="348"/>
      <c r="I40" s="349"/>
      <c r="J40" s="349"/>
      <c r="K40" s="349"/>
    </row>
    <row r="41" spans="1:11" ht="31" x14ac:dyDescent="0.35">
      <c r="A41" s="112"/>
      <c r="B41" s="113" t="s">
        <v>164</v>
      </c>
      <c r="C41" s="113"/>
      <c r="D41" s="113"/>
      <c r="E41" s="135"/>
      <c r="F41" s="115"/>
      <c r="G41" s="116"/>
      <c r="H41" s="348"/>
      <c r="I41" s="349"/>
      <c r="J41" s="349"/>
      <c r="K41" s="349"/>
    </row>
    <row r="42" spans="1:11" x14ac:dyDescent="0.35">
      <c r="A42" s="366" t="s">
        <v>70</v>
      </c>
      <c r="B42" s="117" t="s">
        <v>165</v>
      </c>
      <c r="C42" s="118"/>
      <c r="D42" s="119"/>
      <c r="E42" s="136"/>
      <c r="F42" s="136"/>
      <c r="G42" s="153"/>
      <c r="H42" s="348"/>
      <c r="I42" s="349"/>
      <c r="J42" s="349"/>
      <c r="K42" s="349"/>
    </row>
    <row r="43" spans="1:11" x14ac:dyDescent="0.35">
      <c r="A43" s="367"/>
      <c r="B43" s="119" t="s">
        <v>166</v>
      </c>
      <c r="C43" s="4"/>
      <c r="D43" s="40" t="s">
        <v>68</v>
      </c>
      <c r="E43" s="260" t="s">
        <v>159</v>
      </c>
      <c r="F43" s="64">
        <f t="shared" ref="F43:F46" si="0">IF(C43="Y",0.5,0)</f>
        <v>0</v>
      </c>
      <c r="G43" s="156"/>
      <c r="H43" s="348"/>
      <c r="I43" s="349"/>
      <c r="J43" s="349"/>
      <c r="K43" s="349"/>
    </row>
    <row r="44" spans="1:11" x14ac:dyDescent="0.35">
      <c r="A44" s="367"/>
      <c r="B44" s="119" t="s">
        <v>167</v>
      </c>
      <c r="C44" s="4"/>
      <c r="D44" s="40" t="s">
        <v>68</v>
      </c>
      <c r="E44" s="260" t="s">
        <v>159</v>
      </c>
      <c r="F44" s="64">
        <f t="shared" si="0"/>
        <v>0</v>
      </c>
      <c r="G44" s="156"/>
      <c r="H44" s="348"/>
      <c r="I44" s="349"/>
      <c r="J44" s="349"/>
      <c r="K44" s="349"/>
    </row>
    <row r="45" spans="1:11" ht="31" x14ac:dyDescent="0.35">
      <c r="A45" s="262" t="s">
        <v>73</v>
      </c>
      <c r="B45" s="137" t="s">
        <v>168</v>
      </c>
      <c r="C45" s="4"/>
      <c r="D45" s="40" t="s">
        <v>68</v>
      </c>
      <c r="E45" s="260" t="s">
        <v>159</v>
      </c>
      <c r="F45" s="64">
        <f t="shared" si="0"/>
        <v>0</v>
      </c>
      <c r="G45" s="157"/>
      <c r="H45" s="348"/>
      <c r="I45" s="349"/>
      <c r="J45" s="349"/>
      <c r="K45" s="349"/>
    </row>
    <row r="46" spans="1:11" ht="62" x14ac:dyDescent="0.35">
      <c r="A46" s="262" t="s">
        <v>77</v>
      </c>
      <c r="B46" s="137" t="s">
        <v>169</v>
      </c>
      <c r="C46" s="5"/>
      <c r="D46" s="138" t="s">
        <v>68</v>
      </c>
      <c r="E46" s="267" t="s">
        <v>159</v>
      </c>
      <c r="F46" s="139">
        <f t="shared" si="0"/>
        <v>0</v>
      </c>
      <c r="G46" s="156"/>
      <c r="H46" s="348"/>
      <c r="I46" s="349"/>
      <c r="J46" s="349"/>
      <c r="K46" s="349"/>
    </row>
    <row r="47" spans="1:11" x14ac:dyDescent="0.35">
      <c r="A47" s="127"/>
      <c r="B47" s="360" t="s">
        <v>170</v>
      </c>
      <c r="C47" s="360"/>
      <c r="D47" s="360"/>
      <c r="E47" s="360"/>
      <c r="F47" s="128">
        <f>MIN(F43+F44+F45+F46,1)</f>
        <v>0</v>
      </c>
      <c r="G47" s="67"/>
      <c r="H47" s="348"/>
      <c r="I47" s="349"/>
      <c r="J47" s="349"/>
      <c r="K47" s="349"/>
    </row>
    <row r="48" spans="1:11" x14ac:dyDescent="0.35">
      <c r="A48" s="108" t="s">
        <v>171</v>
      </c>
      <c r="B48" s="133" t="s">
        <v>172</v>
      </c>
      <c r="C48" s="134"/>
      <c r="D48" s="109"/>
      <c r="E48" s="110"/>
      <c r="F48" s="111"/>
      <c r="G48" s="56"/>
      <c r="H48" s="348"/>
      <c r="I48" s="349"/>
      <c r="J48" s="349"/>
      <c r="K48" s="349"/>
    </row>
    <row r="49" spans="1:11" ht="31" x14ac:dyDescent="0.35">
      <c r="A49" s="140"/>
      <c r="B49" s="141" t="s">
        <v>173</v>
      </c>
      <c r="C49" s="114"/>
      <c r="D49" s="114"/>
      <c r="E49" s="142"/>
      <c r="F49" s="115"/>
      <c r="G49" s="116"/>
      <c r="H49" s="348"/>
      <c r="I49" s="349"/>
      <c r="J49" s="349"/>
      <c r="K49" s="349"/>
    </row>
    <row r="50" spans="1:11" ht="31" x14ac:dyDescent="0.35">
      <c r="A50" s="278" t="s">
        <v>70</v>
      </c>
      <c r="B50" s="143" t="s">
        <v>174</v>
      </c>
      <c r="C50" s="4"/>
      <c r="D50" s="40" t="s">
        <v>68</v>
      </c>
      <c r="E50" s="260" t="s">
        <v>129</v>
      </c>
      <c r="F50" s="64">
        <f>IF(C50="Y",2,0)</f>
        <v>0</v>
      </c>
      <c r="G50" s="153"/>
      <c r="H50" s="348"/>
      <c r="I50" s="349"/>
      <c r="J50" s="349"/>
      <c r="K50" s="349"/>
    </row>
    <row r="51" spans="1:11" ht="46.5" x14ac:dyDescent="0.35">
      <c r="A51" s="278" t="s">
        <v>73</v>
      </c>
      <c r="B51" s="143" t="s">
        <v>175</v>
      </c>
      <c r="C51" s="4"/>
      <c r="D51" s="40" t="s">
        <v>68</v>
      </c>
      <c r="E51" s="260" t="s">
        <v>111</v>
      </c>
      <c r="F51" s="64">
        <f>IF((C51="Y")*AND(C50="Y"),1,0)</f>
        <v>0</v>
      </c>
      <c r="G51" s="153"/>
      <c r="H51" s="348"/>
      <c r="I51" s="349"/>
      <c r="J51" s="349"/>
      <c r="K51" s="349"/>
    </row>
    <row r="52" spans="1:11" ht="31" x14ac:dyDescent="0.35">
      <c r="A52" s="278" t="s">
        <v>77</v>
      </c>
      <c r="B52" s="131" t="s">
        <v>176</v>
      </c>
      <c r="C52" s="77" t="s">
        <v>118</v>
      </c>
      <c r="D52" s="260" t="s">
        <v>118</v>
      </c>
      <c r="E52" s="260" t="s">
        <v>118</v>
      </c>
      <c r="F52" s="144" t="s">
        <v>118</v>
      </c>
      <c r="G52" s="153"/>
      <c r="H52" s="348"/>
      <c r="I52" s="349"/>
      <c r="J52" s="349"/>
      <c r="K52" s="349"/>
    </row>
    <row r="53" spans="1:11" x14ac:dyDescent="0.35">
      <c r="A53" s="127"/>
      <c r="B53" s="361" t="s">
        <v>177</v>
      </c>
      <c r="C53" s="362"/>
      <c r="D53" s="362"/>
      <c r="E53" s="362"/>
      <c r="F53" s="128">
        <f>MIN((F50+F51),3)</f>
        <v>0</v>
      </c>
      <c r="G53" s="67"/>
      <c r="H53" s="348"/>
      <c r="I53" s="349"/>
      <c r="J53" s="349"/>
      <c r="K53" s="349"/>
    </row>
    <row r="54" spans="1:11" x14ac:dyDescent="0.35">
      <c r="A54" s="47" t="s">
        <v>178</v>
      </c>
      <c r="B54" s="377" t="s">
        <v>179</v>
      </c>
      <c r="C54" s="377"/>
      <c r="D54" s="377"/>
      <c r="E54" s="47">
        <v>5</v>
      </c>
      <c r="F54" s="49">
        <f>MIN(SUM(F65,F60),5)</f>
        <v>0</v>
      </c>
      <c r="G54" s="47"/>
      <c r="H54" s="348"/>
      <c r="I54" s="349"/>
      <c r="J54" s="349"/>
      <c r="K54" s="349"/>
    </row>
    <row r="55" spans="1:11" x14ac:dyDescent="0.35">
      <c r="A55" s="108" t="s">
        <v>180</v>
      </c>
      <c r="B55" s="133" t="s">
        <v>181</v>
      </c>
      <c r="C55" s="134"/>
      <c r="D55" s="109"/>
      <c r="E55" s="110"/>
      <c r="F55" s="145"/>
      <c r="G55" s="56"/>
      <c r="H55" s="348"/>
      <c r="I55" s="349"/>
      <c r="J55" s="349"/>
      <c r="K55" s="349"/>
    </row>
    <row r="56" spans="1:11" ht="31" x14ac:dyDescent="0.35">
      <c r="A56" s="146"/>
      <c r="B56" s="141" t="s">
        <v>182</v>
      </c>
      <c r="C56" s="147"/>
      <c r="D56" s="147"/>
      <c r="E56" s="142"/>
      <c r="F56" s="146"/>
      <c r="G56" s="63"/>
      <c r="H56" s="348"/>
      <c r="I56" s="349"/>
      <c r="J56" s="349"/>
      <c r="K56" s="349"/>
    </row>
    <row r="57" spans="1:11" x14ac:dyDescent="0.35">
      <c r="A57" s="278" t="s">
        <v>70</v>
      </c>
      <c r="B57" s="131" t="s">
        <v>183</v>
      </c>
      <c r="C57" s="4"/>
      <c r="D57" s="41" t="s">
        <v>72</v>
      </c>
      <c r="E57" s="260" t="s">
        <v>111</v>
      </c>
      <c r="F57" s="64">
        <f>IF(C57&gt;5,1,0)</f>
        <v>0</v>
      </c>
      <c r="G57" s="153"/>
      <c r="H57" s="348"/>
      <c r="I57" s="349"/>
      <c r="J57" s="349"/>
      <c r="K57" s="349"/>
    </row>
    <row r="58" spans="1:11" ht="31" x14ac:dyDescent="0.35">
      <c r="A58" s="278" t="s">
        <v>73</v>
      </c>
      <c r="B58" s="131" t="s">
        <v>184</v>
      </c>
      <c r="C58" s="4"/>
      <c r="D58" s="40" t="s">
        <v>68</v>
      </c>
      <c r="E58" s="260" t="s">
        <v>111</v>
      </c>
      <c r="F58" s="64">
        <f t="shared" ref="F58:F59" si="1">IF(C58="Y",1,0)</f>
        <v>0</v>
      </c>
      <c r="G58" s="153"/>
      <c r="H58" s="348"/>
      <c r="I58" s="349"/>
      <c r="J58" s="349"/>
      <c r="K58" s="349"/>
    </row>
    <row r="59" spans="1:11" ht="46.5" x14ac:dyDescent="0.35">
      <c r="A59" s="278" t="s">
        <v>77</v>
      </c>
      <c r="B59" s="131" t="s">
        <v>185</v>
      </c>
      <c r="C59" s="4"/>
      <c r="D59" s="40" t="s">
        <v>68</v>
      </c>
      <c r="E59" s="260" t="s">
        <v>111</v>
      </c>
      <c r="F59" s="64">
        <f t="shared" si="1"/>
        <v>0</v>
      </c>
      <c r="G59" s="153"/>
      <c r="H59" s="348"/>
      <c r="I59" s="349"/>
      <c r="J59" s="349"/>
      <c r="K59" s="349"/>
    </row>
    <row r="60" spans="1:11" x14ac:dyDescent="0.35">
      <c r="A60" s="127"/>
      <c r="B60" s="361" t="s">
        <v>186</v>
      </c>
      <c r="C60" s="362"/>
      <c r="D60" s="362"/>
      <c r="E60" s="362"/>
      <c r="F60" s="128">
        <f>MIN(F57+F58+F59,3)</f>
        <v>0</v>
      </c>
      <c r="G60" s="94"/>
      <c r="H60" s="348"/>
      <c r="I60" s="349"/>
      <c r="J60" s="349"/>
      <c r="K60" s="349"/>
    </row>
    <row r="61" spans="1:11" x14ac:dyDescent="0.35">
      <c r="A61" s="108" t="s">
        <v>187</v>
      </c>
      <c r="B61" s="368" t="s">
        <v>188</v>
      </c>
      <c r="C61" s="369"/>
      <c r="D61" s="109"/>
      <c r="E61" s="110"/>
      <c r="F61" s="145"/>
      <c r="G61" s="56"/>
      <c r="H61" s="348"/>
      <c r="I61" s="349"/>
      <c r="J61" s="349"/>
      <c r="K61" s="349"/>
    </row>
    <row r="62" spans="1:11" ht="46.5" x14ac:dyDescent="0.35">
      <c r="A62" s="148"/>
      <c r="B62" s="113" t="s">
        <v>189</v>
      </c>
      <c r="C62" s="149"/>
      <c r="D62" s="149"/>
      <c r="E62" s="129"/>
      <c r="F62" s="146"/>
      <c r="G62" s="63"/>
      <c r="H62" s="348"/>
      <c r="I62" s="349"/>
      <c r="J62" s="349"/>
      <c r="K62" s="349"/>
    </row>
    <row r="63" spans="1:11" ht="62" x14ac:dyDescent="0.35">
      <c r="A63" s="278" t="s">
        <v>70</v>
      </c>
      <c r="B63" s="119" t="s">
        <v>190</v>
      </c>
      <c r="C63" s="4"/>
      <c r="D63" s="40" t="s">
        <v>68</v>
      </c>
      <c r="E63" s="260" t="s">
        <v>129</v>
      </c>
      <c r="F63" s="64">
        <f t="shared" ref="F63:F64" si="2">IF(C63="Y",2,0)</f>
        <v>0</v>
      </c>
      <c r="G63" s="153"/>
      <c r="H63" s="348"/>
      <c r="I63" s="349"/>
      <c r="J63" s="349"/>
      <c r="K63" s="349"/>
    </row>
    <row r="64" spans="1:11" ht="62" x14ac:dyDescent="0.35">
      <c r="A64" s="278" t="s">
        <v>73</v>
      </c>
      <c r="B64" s="119" t="s">
        <v>191</v>
      </c>
      <c r="C64" s="4"/>
      <c r="D64" s="40" t="s">
        <v>68</v>
      </c>
      <c r="E64" s="260" t="s">
        <v>129</v>
      </c>
      <c r="F64" s="64">
        <f t="shared" si="2"/>
        <v>0</v>
      </c>
      <c r="G64" s="153"/>
      <c r="H64" s="348"/>
      <c r="I64" s="349"/>
      <c r="J64" s="349"/>
      <c r="K64" s="349"/>
    </row>
    <row r="65" spans="1:11" x14ac:dyDescent="0.35">
      <c r="A65" s="127"/>
      <c r="B65" s="361" t="s">
        <v>192</v>
      </c>
      <c r="C65" s="362"/>
      <c r="D65" s="362"/>
      <c r="E65" s="362"/>
      <c r="F65" s="128">
        <f>MIN(F63+F64,4)</f>
        <v>0</v>
      </c>
      <c r="G65" s="67"/>
      <c r="H65" s="348"/>
      <c r="I65" s="349"/>
      <c r="J65" s="349"/>
      <c r="K65" s="349"/>
    </row>
    <row r="66" spans="1:11" x14ac:dyDescent="0.35">
      <c r="A66" s="47"/>
      <c r="B66" s="377" t="s">
        <v>193</v>
      </c>
      <c r="C66" s="377"/>
      <c r="D66" s="377"/>
      <c r="E66" s="48">
        <v>2</v>
      </c>
      <c r="F66" s="49">
        <f>MIN(F68+F69,2)</f>
        <v>0</v>
      </c>
      <c r="G66" s="47"/>
      <c r="H66" s="348"/>
      <c r="I66" s="349"/>
      <c r="J66" s="349"/>
      <c r="K66" s="349"/>
    </row>
    <row r="67" spans="1:11" ht="93" x14ac:dyDescent="0.35">
      <c r="A67" s="112"/>
      <c r="B67" s="150" t="s">
        <v>194</v>
      </c>
      <c r="C67" s="129"/>
      <c r="D67" s="129"/>
      <c r="E67" s="129" t="s">
        <v>195</v>
      </c>
      <c r="F67" s="104"/>
      <c r="G67" s="95" t="s">
        <v>196</v>
      </c>
      <c r="H67" s="348"/>
      <c r="I67" s="349"/>
      <c r="J67" s="349"/>
      <c r="K67" s="349"/>
    </row>
    <row r="68" spans="1:11" ht="136.5" customHeight="1" x14ac:dyDescent="0.35">
      <c r="A68" s="353"/>
      <c r="B68" s="355" t="s">
        <v>197</v>
      </c>
      <c r="C68" s="158"/>
      <c r="D68" s="151" t="s">
        <v>72</v>
      </c>
      <c r="E68" s="357" t="s">
        <v>198</v>
      </c>
      <c r="F68" s="64">
        <f>C68</f>
        <v>0</v>
      </c>
      <c r="G68" s="159" t="s">
        <v>199</v>
      </c>
      <c r="H68" s="348"/>
      <c r="I68" s="349"/>
      <c r="J68" s="349"/>
      <c r="K68" s="349"/>
    </row>
    <row r="69" spans="1:11" ht="136" customHeight="1" x14ac:dyDescent="0.35">
      <c r="A69" s="354"/>
      <c r="B69" s="356"/>
      <c r="C69" s="158"/>
      <c r="D69" s="151" t="s">
        <v>72</v>
      </c>
      <c r="E69" s="357"/>
      <c r="F69" s="64">
        <f>C69</f>
        <v>0</v>
      </c>
      <c r="G69" s="159" t="s">
        <v>200</v>
      </c>
      <c r="H69" s="348"/>
      <c r="I69" s="349"/>
      <c r="J69" s="349"/>
      <c r="K69" s="349"/>
    </row>
  </sheetData>
  <sheetProtection algorithmName="SHA-512" hashValue="hM5hVvEUnBjPP4GxCensErdRbmzjLIZImYR7GyEpulu9u/io7UGriOx76zh8H+C74aDI/ER5l87j4zzfx+R4hQ==" saltValue="2tceE7lyJPCslON7AmvxaA==" spinCount="100000" sheet="1" objects="1" scenarios="1" formatCells="0" selectLockedCells="1"/>
  <mergeCells count="93">
    <mergeCell ref="B3:D3"/>
    <mergeCell ref="B23:E23"/>
    <mergeCell ref="B28:D28"/>
    <mergeCell ref="B54:D54"/>
    <mergeCell ref="B66:D66"/>
    <mergeCell ref="B8:E8"/>
    <mergeCell ref="B60:E60"/>
    <mergeCell ref="B61:C61"/>
    <mergeCell ref="B65:E65"/>
    <mergeCell ref="H41:K41"/>
    <mergeCell ref="H42:K42"/>
    <mergeCell ref="H43:K43"/>
    <mergeCell ref="H44:K44"/>
    <mergeCell ref="A2:D2"/>
    <mergeCell ref="B39:E39"/>
    <mergeCell ref="A42:A44"/>
    <mergeCell ref="B27:E27"/>
    <mergeCell ref="B29:C29"/>
    <mergeCell ref="A31:A33"/>
    <mergeCell ref="E32:E33"/>
    <mergeCell ref="B35:E35"/>
    <mergeCell ref="A10:A13"/>
    <mergeCell ref="A14:A15"/>
    <mergeCell ref="B16:E16"/>
    <mergeCell ref="B20:E20"/>
    <mergeCell ref="H36:K36"/>
    <mergeCell ref="H37:K37"/>
    <mergeCell ref="H38:K38"/>
    <mergeCell ref="H39:K39"/>
    <mergeCell ref="H40:K40"/>
    <mergeCell ref="A68:A69"/>
    <mergeCell ref="B68:B69"/>
    <mergeCell ref="E68:E69"/>
    <mergeCell ref="F32:F33"/>
    <mergeCell ref="B47:E47"/>
    <mergeCell ref="B53:E53"/>
    <mergeCell ref="H2:K2"/>
    <mergeCell ref="H3:K3"/>
    <mergeCell ref="H4:K4"/>
    <mergeCell ref="H5:K5"/>
    <mergeCell ref="H6:K6"/>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H21:K21"/>
    <mergeCell ref="H22:K22"/>
    <mergeCell ref="H23:K23"/>
    <mergeCell ref="H24:K24"/>
    <mergeCell ref="H25:K25"/>
    <mergeCell ref="H26:K26"/>
    <mergeCell ref="H27:K27"/>
    <mergeCell ref="H28:K28"/>
    <mergeCell ref="H29:K29"/>
    <mergeCell ref="H30:K30"/>
    <mergeCell ref="H35:K35"/>
    <mergeCell ref="J32:J33"/>
    <mergeCell ref="K32:K33"/>
    <mergeCell ref="H45:K45"/>
    <mergeCell ref="H46:K46"/>
    <mergeCell ref="H47:K47"/>
    <mergeCell ref="H48:K48"/>
    <mergeCell ref="H49:K49"/>
    <mergeCell ref="H50:K50"/>
    <mergeCell ref="H51:K51"/>
    <mergeCell ref="H52:K52"/>
    <mergeCell ref="H53:K53"/>
    <mergeCell ref="H54:K54"/>
    <mergeCell ref="H55:K55"/>
    <mergeCell ref="H56:K56"/>
    <mergeCell ref="H57:K57"/>
    <mergeCell ref="H58:K58"/>
    <mergeCell ref="H59:K59"/>
    <mergeCell ref="H60:K60"/>
    <mergeCell ref="H61:K61"/>
    <mergeCell ref="H62:K62"/>
    <mergeCell ref="H63:K63"/>
    <mergeCell ref="H64:K64"/>
    <mergeCell ref="H65:K65"/>
    <mergeCell ref="H66:K66"/>
    <mergeCell ref="H67:K67"/>
    <mergeCell ref="H68:K68"/>
    <mergeCell ref="H69:K69"/>
  </mergeCells>
  <dataValidations count="9">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50:C51 C19 C43:C46 C26 C63:C64 C58:C59 C6:C7 C37" xr:uid="{00000000-0002-0000-0300-000005000000}">
      <formula1>"Y,N"</formula1>
    </dataValidation>
    <dataValidation type="decimal" allowBlank="1" showInputMessage="1" showErrorMessage="1" sqref="C15 C22"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 type="decimal" allowBlank="1" showInputMessage="1" showErrorMessage="1" sqref="C57" xr:uid="{00000000-0002-0000-0300-000008000000}">
      <formula1>0</formula1>
      <formula2>1000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4"/>
  <sheetViews>
    <sheetView showGridLines="0" zoomScaleNormal="100" workbookViewId="0">
      <selection activeCell="E15" sqref="E15"/>
    </sheetView>
  </sheetViews>
  <sheetFormatPr defaultColWidth="9.1796875" defaultRowHeight="14.5" x14ac:dyDescent="0.35"/>
  <cols>
    <col min="1" max="1" width="8.26953125" style="17" customWidth="1"/>
    <col min="2" max="2" width="22.26953125" style="17" customWidth="1"/>
    <col min="3" max="3" width="34" style="17" customWidth="1"/>
    <col min="4" max="4" width="21.1796875" style="17" customWidth="1"/>
    <col min="5" max="5" width="10.7265625" style="299" customWidth="1"/>
    <col min="6" max="6" width="16.1796875" style="293" customWidth="1"/>
    <col min="7" max="7" width="18.1796875" style="17" customWidth="1"/>
    <col min="8" max="8" width="10.7265625" style="17" customWidth="1"/>
    <col min="9" max="9" width="30.7265625" style="17" customWidth="1"/>
    <col min="10" max="11" width="50.7265625" style="17" customWidth="1"/>
    <col min="12" max="12" width="15.54296875" style="17" customWidth="1"/>
    <col min="13" max="13" width="17.26953125" style="17" customWidth="1"/>
    <col min="14" max="16384" width="9.1796875" style="17"/>
  </cols>
  <sheetData>
    <row r="1" spans="1:9" ht="31" x14ac:dyDescent="0.35">
      <c r="A1" s="2"/>
      <c r="B1" s="448" t="s">
        <v>201</v>
      </c>
      <c r="C1" s="449"/>
      <c r="D1" s="450"/>
      <c r="E1" s="39" t="s">
        <v>64</v>
      </c>
      <c r="F1" s="39" t="s">
        <v>65</v>
      </c>
      <c r="G1" s="43" t="s">
        <v>100</v>
      </c>
      <c r="H1" s="39" t="s">
        <v>101</v>
      </c>
      <c r="I1" s="3" t="s">
        <v>102</v>
      </c>
    </row>
    <row r="2" spans="1:9" ht="21" x14ac:dyDescent="0.35">
      <c r="A2" s="458" t="s">
        <v>30</v>
      </c>
      <c r="B2" s="459"/>
      <c r="C2" s="459"/>
      <c r="D2" s="459"/>
      <c r="E2" s="459"/>
      <c r="F2" s="460"/>
      <c r="G2" s="160">
        <v>15</v>
      </c>
      <c r="H2" s="161">
        <f>MIN(SUM(H3,H31,H70,H81),15)</f>
        <v>0</v>
      </c>
      <c r="I2" s="162" t="s">
        <v>103</v>
      </c>
    </row>
    <row r="3" spans="1:9" ht="15.5" x14ac:dyDescent="0.35">
      <c r="A3" s="163" t="s">
        <v>202</v>
      </c>
      <c r="B3" s="451" t="s">
        <v>203</v>
      </c>
      <c r="C3" s="452"/>
      <c r="D3" s="452"/>
      <c r="E3" s="452"/>
      <c r="F3" s="452"/>
      <c r="G3" s="164">
        <v>5</v>
      </c>
      <c r="H3" s="164">
        <f>MIN(SUM(H17,H26,H30),5)</f>
        <v>0</v>
      </c>
      <c r="I3" s="165"/>
    </row>
    <row r="4" spans="1:9" ht="15.5" x14ac:dyDescent="0.35">
      <c r="A4" s="166" t="s">
        <v>204</v>
      </c>
      <c r="B4" s="399" t="s">
        <v>205</v>
      </c>
      <c r="C4" s="399"/>
      <c r="D4" s="400"/>
      <c r="E4" s="167"/>
      <c r="F4" s="166"/>
      <c r="G4" s="166"/>
      <c r="H4" s="168"/>
      <c r="I4" s="166"/>
    </row>
    <row r="5" spans="1:9" ht="15.5" x14ac:dyDescent="0.35">
      <c r="A5" s="269"/>
      <c r="B5" s="401" t="s">
        <v>507</v>
      </c>
      <c r="C5" s="401"/>
      <c r="D5" s="401"/>
      <c r="E5" s="276"/>
      <c r="F5" s="264"/>
      <c r="G5" s="269"/>
      <c r="H5" s="169"/>
      <c r="I5" s="269"/>
    </row>
    <row r="6" spans="1:9" ht="16" thickBot="1" x14ac:dyDescent="0.4">
      <c r="A6" s="331" t="s">
        <v>531</v>
      </c>
      <c r="B6" s="402" t="s">
        <v>206</v>
      </c>
      <c r="C6" s="403"/>
      <c r="D6" s="404"/>
      <c r="E6" s="171"/>
      <c r="F6" s="170"/>
      <c r="G6" s="170"/>
      <c r="H6" s="172"/>
      <c r="I6" s="170"/>
    </row>
    <row r="7" spans="1:9" ht="15.5" x14ac:dyDescent="0.35">
      <c r="A7" s="384"/>
      <c r="B7" s="416" t="s">
        <v>207</v>
      </c>
      <c r="C7" s="417"/>
      <c r="D7" s="435"/>
      <c r="E7" s="382"/>
      <c r="F7" s="384"/>
      <c r="G7" s="384"/>
      <c r="H7" s="359"/>
      <c r="I7" s="381"/>
    </row>
    <row r="8" spans="1:9" ht="15.5" x14ac:dyDescent="0.35">
      <c r="A8" s="384"/>
      <c r="B8" s="446" t="s">
        <v>208</v>
      </c>
      <c r="C8" s="173" t="s">
        <v>209</v>
      </c>
      <c r="D8" s="436"/>
      <c r="E8" s="382"/>
      <c r="F8" s="384"/>
      <c r="G8" s="384"/>
      <c r="H8" s="359"/>
      <c r="I8" s="381"/>
    </row>
    <row r="9" spans="1:9" ht="15.5" x14ac:dyDescent="0.35">
      <c r="A9" s="384"/>
      <c r="B9" s="446"/>
      <c r="C9" s="173" t="s">
        <v>210</v>
      </c>
      <c r="D9" s="436"/>
      <c r="E9" s="382"/>
      <c r="F9" s="384"/>
      <c r="G9" s="384"/>
      <c r="H9" s="359"/>
      <c r="I9" s="381"/>
    </row>
    <row r="10" spans="1:9" ht="15.5" x14ac:dyDescent="0.35">
      <c r="A10" s="384"/>
      <c r="B10" s="446" t="s">
        <v>211</v>
      </c>
      <c r="C10" s="173" t="s">
        <v>212</v>
      </c>
      <c r="D10" s="436"/>
      <c r="E10" s="382"/>
      <c r="F10" s="384"/>
      <c r="G10" s="384"/>
      <c r="H10" s="359"/>
      <c r="I10" s="381"/>
    </row>
    <row r="11" spans="1:9" ht="15.5" x14ac:dyDescent="0.35">
      <c r="A11" s="384"/>
      <c r="B11" s="446"/>
      <c r="C11" s="173" t="s">
        <v>213</v>
      </c>
      <c r="D11" s="436"/>
      <c r="E11" s="382"/>
      <c r="F11" s="384"/>
      <c r="G11" s="384"/>
      <c r="H11" s="359"/>
      <c r="I11" s="381"/>
    </row>
    <row r="12" spans="1:9" ht="15.5" x14ac:dyDescent="0.35">
      <c r="A12" s="384"/>
      <c r="B12" s="446"/>
      <c r="C12" s="173" t="s">
        <v>214</v>
      </c>
      <c r="D12" s="436"/>
      <c r="E12" s="382"/>
      <c r="F12" s="384"/>
      <c r="G12" s="384"/>
      <c r="H12" s="359"/>
      <c r="I12" s="381"/>
    </row>
    <row r="13" spans="1:9" ht="15.5" x14ac:dyDescent="0.35">
      <c r="A13" s="384"/>
      <c r="B13" s="446"/>
      <c r="C13" s="173" t="s">
        <v>215</v>
      </c>
      <c r="D13" s="436"/>
      <c r="E13" s="382"/>
      <c r="F13" s="384"/>
      <c r="G13" s="384"/>
      <c r="H13" s="359"/>
      <c r="I13" s="381"/>
    </row>
    <row r="14" spans="1:9" ht="16" thickBot="1" x14ac:dyDescent="0.4">
      <c r="A14" s="384"/>
      <c r="B14" s="447"/>
      <c r="C14" s="174" t="s">
        <v>216</v>
      </c>
      <c r="D14" s="436"/>
      <c r="E14" s="382"/>
      <c r="F14" s="384"/>
      <c r="G14" s="384"/>
      <c r="H14" s="359"/>
      <c r="I14" s="381"/>
    </row>
    <row r="15" spans="1:9" ht="98.5" customHeight="1" x14ac:dyDescent="0.35">
      <c r="A15" s="269"/>
      <c r="B15" s="405" t="s">
        <v>217</v>
      </c>
      <c r="C15" s="401"/>
      <c r="D15" s="401"/>
      <c r="E15" s="206"/>
      <c r="F15" s="270" t="s">
        <v>68</v>
      </c>
      <c r="G15" s="265" t="s">
        <v>218</v>
      </c>
      <c r="H15" s="273">
        <f>IF(E15="Y", 3, 0)</f>
        <v>0</v>
      </c>
      <c r="I15" s="317"/>
    </row>
    <row r="16" spans="1:9" ht="60.75" customHeight="1" x14ac:dyDescent="0.35">
      <c r="A16" s="269"/>
      <c r="B16" s="434" t="s">
        <v>530</v>
      </c>
      <c r="C16" s="434"/>
      <c r="D16" s="434"/>
      <c r="E16" s="276"/>
      <c r="F16" s="264"/>
      <c r="G16" s="269"/>
      <c r="H16" s="144"/>
      <c r="I16" s="207"/>
    </row>
    <row r="17" spans="1:9" ht="15.5" x14ac:dyDescent="0.35">
      <c r="A17" s="175"/>
      <c r="B17" s="395" t="s">
        <v>219</v>
      </c>
      <c r="C17" s="396"/>
      <c r="D17" s="396"/>
      <c r="E17" s="396"/>
      <c r="F17" s="396"/>
      <c r="G17" s="397"/>
      <c r="H17" s="176">
        <f>SUM(H7:H16)</f>
        <v>0</v>
      </c>
      <c r="I17" s="177"/>
    </row>
    <row r="18" spans="1:9" ht="15.75" customHeight="1" x14ac:dyDescent="0.35">
      <c r="A18" s="331" t="s">
        <v>529</v>
      </c>
      <c r="B18" s="402" t="s">
        <v>220</v>
      </c>
      <c r="C18" s="403"/>
      <c r="D18" s="404"/>
      <c r="E18" s="171"/>
      <c r="F18" s="170"/>
      <c r="G18" s="170"/>
      <c r="H18" s="172"/>
      <c r="I18" s="170"/>
    </row>
    <row r="19" spans="1:9" ht="85.5" customHeight="1" x14ac:dyDescent="0.35">
      <c r="A19" s="330" t="s">
        <v>527</v>
      </c>
      <c r="B19" s="398" t="s">
        <v>528</v>
      </c>
      <c r="C19" s="398"/>
      <c r="D19" s="398"/>
      <c r="E19" s="206"/>
      <c r="F19" s="78" t="s">
        <v>222</v>
      </c>
      <c r="G19" s="6" t="s">
        <v>159</v>
      </c>
      <c r="H19" s="261">
        <f>IF(ISNUMBER(E19), 0.5, 0)</f>
        <v>0</v>
      </c>
      <c r="I19" s="207"/>
    </row>
    <row r="20" spans="1:9" ht="64.5" customHeight="1" thickBot="1" x14ac:dyDescent="0.4">
      <c r="A20" s="328"/>
      <c r="B20" s="398" t="s">
        <v>525</v>
      </c>
      <c r="C20" s="398"/>
      <c r="D20" s="398"/>
      <c r="E20" s="206"/>
      <c r="F20" s="78" t="s">
        <v>76</v>
      </c>
      <c r="G20" s="327" t="s">
        <v>526</v>
      </c>
      <c r="H20" s="261">
        <f>IF(E20&gt;=30,2,IF(E20&gt;=10,1,0))</f>
        <v>0</v>
      </c>
      <c r="I20" s="207"/>
    </row>
    <row r="21" spans="1:9" ht="31" x14ac:dyDescent="0.35">
      <c r="A21" s="384"/>
      <c r="B21" s="178"/>
      <c r="C21" s="179" t="s">
        <v>225</v>
      </c>
      <c r="D21" s="180"/>
      <c r="E21" s="382"/>
      <c r="F21" s="384"/>
      <c r="G21" s="384"/>
      <c r="H21" s="359"/>
      <c r="I21" s="381"/>
    </row>
    <row r="22" spans="1:9" ht="15.5" x14ac:dyDescent="0.35">
      <c r="A22" s="384"/>
      <c r="B22" s="181" t="s">
        <v>226</v>
      </c>
      <c r="C22" s="182">
        <v>1000</v>
      </c>
      <c r="D22" s="183"/>
      <c r="E22" s="382"/>
      <c r="F22" s="384"/>
      <c r="G22" s="384"/>
      <c r="H22" s="359"/>
      <c r="I22" s="381"/>
    </row>
    <row r="23" spans="1:9" ht="15.5" x14ac:dyDescent="0.35">
      <c r="A23" s="384"/>
      <c r="B23" s="181" t="s">
        <v>227</v>
      </c>
      <c r="C23" s="329">
        <v>1300</v>
      </c>
      <c r="D23" s="183"/>
      <c r="E23" s="382"/>
      <c r="F23" s="384"/>
      <c r="G23" s="384"/>
      <c r="H23" s="359"/>
      <c r="I23" s="381"/>
    </row>
    <row r="24" spans="1:9" ht="16" thickBot="1" x14ac:dyDescent="0.4">
      <c r="A24" s="384"/>
      <c r="B24" s="184" t="s">
        <v>228</v>
      </c>
      <c r="C24" s="185">
        <v>2500</v>
      </c>
      <c r="D24" s="183"/>
      <c r="E24" s="382"/>
      <c r="F24" s="384"/>
      <c r="G24" s="384"/>
      <c r="H24" s="359"/>
      <c r="I24" s="381"/>
    </row>
    <row r="25" spans="1:9" ht="15.5" x14ac:dyDescent="0.35">
      <c r="A25" s="385"/>
      <c r="B25" s="433" t="s">
        <v>524</v>
      </c>
      <c r="C25" s="433"/>
      <c r="D25" s="433"/>
      <c r="E25" s="383"/>
      <c r="F25" s="385"/>
      <c r="G25" s="385"/>
      <c r="H25" s="358"/>
      <c r="I25" s="381"/>
    </row>
    <row r="26" spans="1:9" ht="15.5" x14ac:dyDescent="0.35">
      <c r="A26" s="175"/>
      <c r="B26" s="395" t="s">
        <v>229</v>
      </c>
      <c r="C26" s="396"/>
      <c r="D26" s="396"/>
      <c r="E26" s="396"/>
      <c r="F26" s="396"/>
      <c r="G26" s="397"/>
      <c r="H26" s="176">
        <f>SUM(H19:H20)</f>
        <v>0</v>
      </c>
      <c r="I26" s="177"/>
    </row>
    <row r="27" spans="1:9" ht="15.5" x14ac:dyDescent="0.35">
      <c r="A27" s="166" t="s">
        <v>230</v>
      </c>
      <c r="B27" s="399" t="s">
        <v>231</v>
      </c>
      <c r="C27" s="399"/>
      <c r="D27" s="400"/>
      <c r="E27" s="167"/>
      <c r="F27" s="166"/>
      <c r="G27" s="166"/>
      <c r="H27" s="168"/>
      <c r="I27" s="166"/>
    </row>
    <row r="28" spans="1:9" ht="47.25" customHeight="1" x14ac:dyDescent="0.35">
      <c r="A28" s="269" t="s">
        <v>221</v>
      </c>
      <c r="B28" s="405" t="s">
        <v>232</v>
      </c>
      <c r="C28" s="405"/>
      <c r="D28" s="405"/>
      <c r="E28" s="206"/>
      <c r="F28" s="270" t="s">
        <v>68</v>
      </c>
      <c r="G28" s="6" t="s">
        <v>111</v>
      </c>
      <c r="H28" s="261">
        <f>IF(E28="Y",1,0)</f>
        <v>0</v>
      </c>
      <c r="I28" s="318"/>
    </row>
    <row r="29" spans="1:9" ht="19.5" customHeight="1" x14ac:dyDescent="0.35">
      <c r="A29" s="269" t="s">
        <v>73</v>
      </c>
      <c r="B29" s="398" t="s">
        <v>523</v>
      </c>
      <c r="C29" s="398"/>
      <c r="D29" s="398"/>
      <c r="E29" s="204" t="s">
        <v>118</v>
      </c>
      <c r="F29" s="122" t="s">
        <v>118</v>
      </c>
      <c r="G29" s="258" t="s">
        <v>118</v>
      </c>
      <c r="H29" s="122" t="s">
        <v>118</v>
      </c>
      <c r="I29" s="318"/>
    </row>
    <row r="30" spans="1:9" ht="15.5" x14ac:dyDescent="0.35">
      <c r="A30" s="175"/>
      <c r="B30" s="395" t="s">
        <v>233</v>
      </c>
      <c r="C30" s="396"/>
      <c r="D30" s="396"/>
      <c r="E30" s="396"/>
      <c r="F30" s="396"/>
      <c r="G30" s="397"/>
      <c r="H30" s="176">
        <f>SUM(H28)</f>
        <v>0</v>
      </c>
      <c r="I30" s="177"/>
    </row>
    <row r="31" spans="1:9" ht="15.5" x14ac:dyDescent="0.35">
      <c r="A31" s="163" t="s">
        <v>234</v>
      </c>
      <c r="B31" s="451" t="s">
        <v>235</v>
      </c>
      <c r="C31" s="452"/>
      <c r="D31" s="452"/>
      <c r="E31" s="452"/>
      <c r="F31" s="452"/>
      <c r="G31" s="164">
        <v>5</v>
      </c>
      <c r="H31" s="186">
        <f>MIN(SUM(H58,H63,H69),5)</f>
        <v>0</v>
      </c>
      <c r="I31" s="165"/>
    </row>
    <row r="32" spans="1:9" ht="15.75" customHeight="1" x14ac:dyDescent="0.35">
      <c r="A32" s="166" t="s">
        <v>236</v>
      </c>
      <c r="B32" s="399" t="s">
        <v>237</v>
      </c>
      <c r="C32" s="399"/>
      <c r="D32" s="400"/>
      <c r="E32" s="167"/>
      <c r="F32" s="166"/>
      <c r="G32" s="166"/>
      <c r="H32" s="166"/>
      <c r="I32" s="166"/>
    </row>
    <row r="33" spans="1:13" ht="31.5" customHeight="1" x14ac:dyDescent="0.35">
      <c r="A33" s="187"/>
      <c r="B33" s="461" t="s">
        <v>238</v>
      </c>
      <c r="C33" s="461"/>
      <c r="D33" s="461"/>
      <c r="E33" s="188"/>
      <c r="F33" s="189"/>
      <c r="G33" s="190"/>
      <c r="H33" s="191"/>
      <c r="I33" s="187"/>
    </row>
    <row r="34" spans="1:13" ht="16" thickBot="1" x14ac:dyDescent="0.4">
      <c r="A34" s="422" t="s">
        <v>70</v>
      </c>
      <c r="B34" s="425" t="s">
        <v>239</v>
      </c>
      <c r="C34" s="426"/>
      <c r="D34" s="411"/>
      <c r="E34" s="276"/>
      <c r="F34" s="192"/>
      <c r="G34" s="36"/>
      <c r="H34" s="193"/>
      <c r="I34" s="153"/>
    </row>
    <row r="35" spans="1:13" ht="15.5" x14ac:dyDescent="0.35">
      <c r="A35" s="441"/>
      <c r="B35" s="178"/>
      <c r="C35" s="179" t="s">
        <v>240</v>
      </c>
      <c r="D35" s="438"/>
      <c r="E35" s="419"/>
      <c r="F35" s="421" t="s">
        <v>72</v>
      </c>
      <c r="G35" s="422" t="s">
        <v>129</v>
      </c>
      <c r="H35" s="423">
        <f>IF(ISBLANK(E35),0,IF(E35&lt;=0.45,2,0))</f>
        <v>0</v>
      </c>
      <c r="I35" s="386"/>
    </row>
    <row r="36" spans="1:13" ht="15.5" x14ac:dyDescent="0.35">
      <c r="A36" s="441"/>
      <c r="B36" s="181" t="s">
        <v>226</v>
      </c>
      <c r="C36" s="182" t="s">
        <v>241</v>
      </c>
      <c r="D36" s="438"/>
      <c r="E36" s="420"/>
      <c r="F36" s="421"/>
      <c r="G36" s="422"/>
      <c r="H36" s="424"/>
      <c r="I36" s="387"/>
    </row>
    <row r="37" spans="1:13" ht="15.5" x14ac:dyDescent="0.35">
      <c r="A37" s="441"/>
      <c r="B37" s="181" t="s">
        <v>227</v>
      </c>
      <c r="C37" s="182" t="s">
        <v>242</v>
      </c>
      <c r="D37" s="438"/>
      <c r="E37" s="420"/>
      <c r="F37" s="421"/>
      <c r="G37" s="422"/>
      <c r="H37" s="424"/>
      <c r="I37" s="387"/>
    </row>
    <row r="38" spans="1:13" ht="16" thickBot="1" x14ac:dyDescent="0.4">
      <c r="A38" s="441"/>
      <c r="B38" s="184" t="s">
        <v>228</v>
      </c>
      <c r="C38" s="185" t="s">
        <v>242</v>
      </c>
      <c r="D38" s="438"/>
      <c r="E38" s="420"/>
      <c r="F38" s="421"/>
      <c r="G38" s="422"/>
      <c r="H38" s="424"/>
      <c r="I38" s="387"/>
    </row>
    <row r="39" spans="1:13" ht="67.5" customHeight="1" thickBot="1" x14ac:dyDescent="0.4">
      <c r="A39" s="406" t="s">
        <v>223</v>
      </c>
      <c r="B39" s="405" t="s">
        <v>243</v>
      </c>
      <c r="C39" s="405"/>
      <c r="D39" s="411"/>
      <c r="E39" s="443"/>
      <c r="F39" s="389"/>
      <c r="G39" s="389"/>
      <c r="H39" s="389"/>
      <c r="I39" s="392"/>
      <c r="K39" s="301"/>
      <c r="L39" s="282"/>
      <c r="M39" s="282"/>
    </row>
    <row r="40" spans="1:13" ht="31.5" customHeight="1" x14ac:dyDescent="0.35">
      <c r="A40" s="442"/>
      <c r="B40" s="178"/>
      <c r="C40" s="194" t="s">
        <v>244</v>
      </c>
      <c r="D40" s="439"/>
      <c r="E40" s="444"/>
      <c r="F40" s="390"/>
      <c r="G40" s="390"/>
      <c r="H40" s="390"/>
      <c r="I40" s="393"/>
      <c r="K40" s="301"/>
      <c r="L40" s="282"/>
      <c r="M40" s="282"/>
    </row>
    <row r="41" spans="1:13" ht="15.75" customHeight="1" x14ac:dyDescent="0.35">
      <c r="A41" s="442"/>
      <c r="B41" s="181" t="s">
        <v>226</v>
      </c>
      <c r="C41" s="182" t="s">
        <v>245</v>
      </c>
      <c r="D41" s="439"/>
      <c r="E41" s="444"/>
      <c r="F41" s="390"/>
      <c r="G41" s="390"/>
      <c r="H41" s="390"/>
      <c r="I41" s="393"/>
      <c r="K41" s="301"/>
      <c r="L41" s="282"/>
      <c r="M41" s="282"/>
    </row>
    <row r="42" spans="1:13" ht="15.75" customHeight="1" thickBot="1" x14ac:dyDescent="0.4">
      <c r="A42" s="442"/>
      <c r="B42" s="184" t="s">
        <v>227</v>
      </c>
      <c r="C42" s="195" t="s">
        <v>246</v>
      </c>
      <c r="D42" s="440"/>
      <c r="E42" s="445"/>
      <c r="F42" s="391"/>
      <c r="G42" s="391"/>
      <c r="H42" s="391"/>
      <c r="I42" s="394"/>
      <c r="K42" s="301"/>
      <c r="L42" s="282"/>
      <c r="M42" s="282"/>
    </row>
    <row r="43" spans="1:13" ht="15.75" customHeight="1" x14ac:dyDescent="0.35">
      <c r="A43" s="407"/>
      <c r="B43" s="412" t="s">
        <v>247</v>
      </c>
      <c r="C43" s="412"/>
      <c r="D43" s="405"/>
      <c r="E43" s="206"/>
      <c r="F43" s="270" t="s">
        <v>76</v>
      </c>
      <c r="G43" s="406" t="s">
        <v>111</v>
      </c>
      <c r="H43" s="423">
        <f>IF(SUM(E43:E47)&gt;=55, 1, 0)</f>
        <v>0</v>
      </c>
      <c r="I43" s="386"/>
      <c r="K43" s="301"/>
      <c r="L43" s="282"/>
      <c r="M43" s="282"/>
    </row>
    <row r="44" spans="1:13" ht="15.5" x14ac:dyDescent="0.35">
      <c r="A44" s="407"/>
      <c r="B44" s="405" t="s">
        <v>248</v>
      </c>
      <c r="C44" s="405"/>
      <c r="D44" s="405"/>
      <c r="E44" s="206"/>
      <c r="F44" s="270" t="s">
        <v>76</v>
      </c>
      <c r="G44" s="407"/>
      <c r="H44" s="424"/>
      <c r="I44" s="387"/>
      <c r="K44" s="301"/>
      <c r="L44" s="302"/>
      <c r="M44" s="299"/>
    </row>
    <row r="45" spans="1:13" ht="15.75" customHeight="1" x14ac:dyDescent="0.35">
      <c r="A45" s="407"/>
      <c r="B45" s="405" t="s">
        <v>249</v>
      </c>
      <c r="C45" s="405"/>
      <c r="D45" s="405"/>
      <c r="E45" s="206"/>
      <c r="F45" s="270" t="s">
        <v>76</v>
      </c>
      <c r="G45" s="407"/>
      <c r="H45" s="424"/>
      <c r="I45" s="387"/>
    </row>
    <row r="46" spans="1:13" ht="15.75" customHeight="1" x14ac:dyDescent="0.35">
      <c r="A46" s="407"/>
      <c r="B46" s="405" t="s">
        <v>250</v>
      </c>
      <c r="C46" s="405"/>
      <c r="D46" s="405"/>
      <c r="E46" s="206"/>
      <c r="F46" s="270" t="s">
        <v>76</v>
      </c>
      <c r="G46" s="407"/>
      <c r="H46" s="424"/>
      <c r="I46" s="387"/>
    </row>
    <row r="47" spans="1:13" ht="47.25" customHeight="1" x14ac:dyDescent="0.35">
      <c r="A47" s="408"/>
      <c r="B47" s="405" t="s">
        <v>251</v>
      </c>
      <c r="C47" s="405"/>
      <c r="D47" s="405"/>
      <c r="E47" s="206"/>
      <c r="F47" s="270" t="s">
        <v>76</v>
      </c>
      <c r="G47" s="408"/>
      <c r="H47" s="430"/>
      <c r="I47" s="388"/>
    </row>
    <row r="48" spans="1:13" ht="47.25" customHeight="1" x14ac:dyDescent="0.35">
      <c r="A48" s="406" t="s">
        <v>77</v>
      </c>
      <c r="B48" s="405" t="s">
        <v>252</v>
      </c>
      <c r="C48" s="405"/>
      <c r="D48" s="405"/>
      <c r="E48" s="276"/>
      <c r="F48" s="270"/>
      <c r="G48"/>
      <c r="H48" s="261"/>
      <c r="I48" s="153"/>
    </row>
    <row r="49" spans="1:9" ht="33" customHeight="1" x14ac:dyDescent="0.35">
      <c r="A49" s="408"/>
      <c r="B49" s="429" t="s">
        <v>253</v>
      </c>
      <c r="C49" s="429"/>
      <c r="D49" s="429"/>
      <c r="E49" s="206"/>
      <c r="F49" s="270" t="s">
        <v>72</v>
      </c>
      <c r="G49" s="327" t="s">
        <v>522</v>
      </c>
      <c r="H49" s="196">
        <f>IF(E49&gt;=2,E49*0.5,0)</f>
        <v>0</v>
      </c>
      <c r="I49" s="153"/>
    </row>
    <row r="50" spans="1:9" ht="83.5" customHeight="1" x14ac:dyDescent="0.35">
      <c r="A50" s="406" t="s">
        <v>80</v>
      </c>
      <c r="B50" s="455" t="s">
        <v>519</v>
      </c>
      <c r="C50" s="398"/>
      <c r="D50" s="456"/>
      <c r="E50" s="276"/>
      <c r="F50" s="270"/>
      <c r="G50" s="197" t="s">
        <v>254</v>
      </c>
      <c r="H50" s="198"/>
      <c r="I50" s="237"/>
    </row>
    <row r="51" spans="1:9" ht="15.5" x14ac:dyDescent="0.35">
      <c r="A51" s="407"/>
      <c r="B51" s="429" t="s">
        <v>255</v>
      </c>
      <c r="C51" s="429"/>
      <c r="D51" s="429"/>
      <c r="E51" s="206"/>
      <c r="F51" s="270" t="s">
        <v>72</v>
      </c>
      <c r="G51" s="6" t="s">
        <v>118</v>
      </c>
      <c r="H51" s="193"/>
      <c r="I51" s="153"/>
    </row>
    <row r="52" spans="1:9" ht="15.5" x14ac:dyDescent="0.35">
      <c r="A52" s="407"/>
      <c r="B52" s="398" t="s">
        <v>520</v>
      </c>
      <c r="C52" s="398"/>
      <c r="D52" s="398"/>
      <c r="E52" s="206"/>
      <c r="F52" s="270" t="s">
        <v>76</v>
      </c>
      <c r="G52" s="413" t="s">
        <v>256</v>
      </c>
      <c r="H52" s="423">
        <f>IF(AND(E52&gt;=20,E53="Y"),0.5,0)</f>
        <v>0</v>
      </c>
      <c r="I52" s="153"/>
    </row>
    <row r="53" spans="1:9" ht="18" customHeight="1" x14ac:dyDescent="0.35">
      <c r="A53" s="407"/>
      <c r="B53" s="398" t="s">
        <v>521</v>
      </c>
      <c r="C53" s="398"/>
      <c r="D53" s="398"/>
      <c r="E53" s="206"/>
      <c r="F53" s="270" t="s">
        <v>68</v>
      </c>
      <c r="G53" s="415"/>
      <c r="H53" s="430"/>
      <c r="I53" s="153"/>
    </row>
    <row r="54" spans="1:9" ht="15.5" x14ac:dyDescent="0.35">
      <c r="A54" s="407"/>
      <c r="B54" s="405" t="s">
        <v>257</v>
      </c>
      <c r="C54" s="405"/>
      <c r="D54" s="405"/>
      <c r="E54" s="206"/>
      <c r="F54" s="78" t="s">
        <v>76</v>
      </c>
      <c r="G54" s="413" t="s">
        <v>256</v>
      </c>
      <c r="H54" s="423">
        <f>IF(OR(AND(E54&lt;=10,E55="Y"),AND(E56&gt;=50,E57="Y")),0.5,0)</f>
        <v>0</v>
      </c>
      <c r="I54" s="153"/>
    </row>
    <row r="55" spans="1:9" ht="15.75" customHeight="1" x14ac:dyDescent="0.35">
      <c r="A55" s="407"/>
      <c r="B55" s="405" t="s">
        <v>258</v>
      </c>
      <c r="C55" s="405"/>
      <c r="D55" s="405"/>
      <c r="E55" s="206"/>
      <c r="F55" s="270" t="s">
        <v>68</v>
      </c>
      <c r="G55" s="414"/>
      <c r="H55" s="424"/>
      <c r="I55" s="153"/>
    </row>
    <row r="56" spans="1:9" ht="15.75" customHeight="1" x14ac:dyDescent="0.35">
      <c r="A56" s="407"/>
      <c r="B56" s="405" t="s">
        <v>259</v>
      </c>
      <c r="C56" s="405"/>
      <c r="D56" s="405"/>
      <c r="E56" s="206"/>
      <c r="F56" s="78" t="s">
        <v>76</v>
      </c>
      <c r="G56" s="414"/>
      <c r="H56" s="424"/>
      <c r="I56" s="153"/>
    </row>
    <row r="57" spans="1:9" ht="15.75" customHeight="1" x14ac:dyDescent="0.35">
      <c r="A57" s="408"/>
      <c r="B57" s="405" t="s">
        <v>260</v>
      </c>
      <c r="C57" s="405"/>
      <c r="D57" s="405"/>
      <c r="E57" s="206"/>
      <c r="F57" s="270" t="s">
        <v>68</v>
      </c>
      <c r="G57" s="415"/>
      <c r="H57" s="430"/>
      <c r="I57" s="153"/>
    </row>
    <row r="58" spans="1:9" ht="15.5" x14ac:dyDescent="0.35">
      <c r="A58" s="175"/>
      <c r="B58" s="395" t="s">
        <v>261</v>
      </c>
      <c r="C58" s="396"/>
      <c r="D58" s="396"/>
      <c r="E58" s="396"/>
      <c r="F58" s="396"/>
      <c r="G58" s="397"/>
      <c r="H58" s="176">
        <f>SUM(H34:H57)</f>
        <v>0</v>
      </c>
      <c r="I58" s="177"/>
    </row>
    <row r="59" spans="1:9" ht="15.75" customHeight="1" x14ac:dyDescent="0.35">
      <c r="A59" s="199" t="s">
        <v>262</v>
      </c>
      <c r="B59" s="437" t="s">
        <v>263</v>
      </c>
      <c r="C59" s="399"/>
      <c r="D59" s="400"/>
      <c r="E59" s="167"/>
      <c r="F59" s="166"/>
      <c r="G59" s="166"/>
      <c r="H59" s="168"/>
      <c r="I59" s="166"/>
    </row>
    <row r="60" spans="1:9" ht="34" customHeight="1" x14ac:dyDescent="0.35">
      <c r="A60" s="418" t="s">
        <v>70</v>
      </c>
      <c r="B60" s="425" t="s">
        <v>264</v>
      </c>
      <c r="C60" s="426"/>
      <c r="D60" s="411"/>
      <c r="E60" s="206"/>
      <c r="F60" s="78" t="s">
        <v>265</v>
      </c>
      <c r="G60" s="413" t="s">
        <v>129</v>
      </c>
      <c r="H60" s="431">
        <f>IF(AND(E60="Cost",E61&gt;=60),2,0) + IF(AND(E60="Area",E61&gt;=80),2,0)</f>
        <v>0</v>
      </c>
      <c r="I60" s="153"/>
    </row>
    <row r="61" spans="1:9" ht="31" customHeight="1" x14ac:dyDescent="0.35">
      <c r="A61" s="418"/>
      <c r="B61" s="427"/>
      <c r="C61" s="412"/>
      <c r="D61" s="428"/>
      <c r="E61" s="206"/>
      <c r="F61" s="78" t="s">
        <v>76</v>
      </c>
      <c r="G61" s="415"/>
      <c r="H61" s="432"/>
      <c r="I61" s="153"/>
    </row>
    <row r="62" spans="1:9" ht="48" customHeight="1" x14ac:dyDescent="0.35">
      <c r="A62" s="269" t="s">
        <v>73</v>
      </c>
      <c r="B62" s="410" t="s">
        <v>266</v>
      </c>
      <c r="C62" s="405"/>
      <c r="D62" s="405"/>
      <c r="E62" s="206"/>
      <c r="F62" s="78" t="s">
        <v>76</v>
      </c>
      <c r="G62" s="260" t="s">
        <v>111</v>
      </c>
      <c r="H62" s="200">
        <f>IF(E62&gt;=60,1,0)</f>
        <v>0</v>
      </c>
      <c r="I62" s="153"/>
    </row>
    <row r="63" spans="1:9" ht="15.75" customHeight="1" x14ac:dyDescent="0.35">
      <c r="A63" s="201"/>
      <c r="B63" s="395" t="s">
        <v>267</v>
      </c>
      <c r="C63" s="396"/>
      <c r="D63" s="396"/>
      <c r="E63" s="396"/>
      <c r="F63" s="396"/>
      <c r="G63" s="397"/>
      <c r="H63" s="176">
        <f>SUM(H60:H62)</f>
        <v>0</v>
      </c>
      <c r="I63" s="177"/>
    </row>
    <row r="64" spans="1:9" ht="15.5" x14ac:dyDescent="0.35">
      <c r="A64" s="166" t="s">
        <v>268</v>
      </c>
      <c r="B64" s="399" t="s">
        <v>269</v>
      </c>
      <c r="C64" s="399"/>
      <c r="D64" s="400"/>
      <c r="E64" s="167"/>
      <c r="F64" s="166"/>
      <c r="G64" s="166"/>
      <c r="H64" s="168"/>
      <c r="I64" s="166"/>
    </row>
    <row r="65" spans="1:9" ht="33" customHeight="1" x14ac:dyDescent="0.35">
      <c r="A65" s="269"/>
      <c r="B65" s="410" t="s">
        <v>270</v>
      </c>
      <c r="C65" s="405"/>
      <c r="D65" s="405"/>
      <c r="E65" s="276"/>
      <c r="F65" s="78"/>
      <c r="G65" s="260"/>
      <c r="H65" s="261"/>
      <c r="I65" s="153"/>
    </row>
    <row r="66" spans="1:9" ht="15.5" x14ac:dyDescent="0.35">
      <c r="A66" s="269" t="s">
        <v>70</v>
      </c>
      <c r="B66" s="410" t="s">
        <v>271</v>
      </c>
      <c r="C66" s="405"/>
      <c r="D66" s="405"/>
      <c r="E66" s="206"/>
      <c r="F66" s="78" t="s">
        <v>68</v>
      </c>
      <c r="G66" s="260" t="s">
        <v>111</v>
      </c>
      <c r="H66" s="261">
        <f>IF(E66="Y",1,0)</f>
        <v>0</v>
      </c>
      <c r="I66" s="153"/>
    </row>
    <row r="67" spans="1:9" ht="47.25" customHeight="1" x14ac:dyDescent="0.35">
      <c r="A67" s="269" t="s">
        <v>223</v>
      </c>
      <c r="B67" s="410" t="s">
        <v>272</v>
      </c>
      <c r="C67" s="405"/>
      <c r="D67" s="405"/>
      <c r="E67" s="206"/>
      <c r="F67" s="78" t="s">
        <v>76</v>
      </c>
      <c r="G67" s="260" t="s">
        <v>111</v>
      </c>
      <c r="H67" s="64">
        <f>IF(E67&gt;=40,1,0)</f>
        <v>0</v>
      </c>
      <c r="I67" s="153"/>
    </row>
    <row r="68" spans="1:9" ht="51.65" customHeight="1" x14ac:dyDescent="0.35">
      <c r="A68" s="269" t="s">
        <v>273</v>
      </c>
      <c r="B68" s="410" t="s">
        <v>274</v>
      </c>
      <c r="C68" s="405"/>
      <c r="D68" s="405"/>
      <c r="E68" s="206"/>
      <c r="F68" s="78" t="s">
        <v>68</v>
      </c>
      <c r="G68" s="260" t="s">
        <v>111</v>
      </c>
      <c r="H68" s="261">
        <f>IF(E68="Y",1,0)</f>
        <v>0</v>
      </c>
      <c r="I68" s="153"/>
    </row>
    <row r="69" spans="1:9" ht="15.5" x14ac:dyDescent="0.35">
      <c r="A69" s="201"/>
      <c r="B69" s="395" t="s">
        <v>275</v>
      </c>
      <c r="C69" s="396"/>
      <c r="D69" s="396"/>
      <c r="E69" s="396"/>
      <c r="F69" s="396"/>
      <c r="G69" s="397"/>
      <c r="H69" s="176">
        <f>SUM(H66:H68)</f>
        <v>0</v>
      </c>
      <c r="I69" s="177"/>
    </row>
    <row r="70" spans="1:9" ht="15.65" customHeight="1" x14ac:dyDescent="0.35">
      <c r="A70" s="163" t="s">
        <v>276</v>
      </c>
      <c r="B70" s="451" t="s">
        <v>277</v>
      </c>
      <c r="C70" s="452"/>
      <c r="D70" s="452"/>
      <c r="E70" s="452"/>
      <c r="F70" s="452"/>
      <c r="G70" s="202">
        <v>5</v>
      </c>
      <c r="H70" s="186">
        <f>MIN(SUM(H73,H77,H80),5)</f>
        <v>0</v>
      </c>
      <c r="I70" s="165"/>
    </row>
    <row r="71" spans="1:9" ht="19" customHeight="1" x14ac:dyDescent="0.35">
      <c r="A71" s="166" t="s">
        <v>278</v>
      </c>
      <c r="B71" s="399" t="s">
        <v>279</v>
      </c>
      <c r="C71" s="399"/>
      <c r="D71" s="400"/>
      <c r="E71" s="167"/>
      <c r="F71" s="166"/>
      <c r="G71" s="166"/>
      <c r="H71" s="166"/>
      <c r="I71" s="166"/>
    </row>
    <row r="72" spans="1:9" ht="98.5" customHeight="1" x14ac:dyDescent="0.35">
      <c r="A72" s="203"/>
      <c r="B72" s="410" t="s">
        <v>280</v>
      </c>
      <c r="C72" s="405"/>
      <c r="D72" s="405"/>
      <c r="E72" s="204" t="s">
        <v>118</v>
      </c>
      <c r="F72" s="122" t="s">
        <v>118</v>
      </c>
      <c r="G72" s="258" t="s">
        <v>118</v>
      </c>
      <c r="H72" s="122" t="s">
        <v>118</v>
      </c>
      <c r="I72" s="153"/>
    </row>
    <row r="73" spans="1:9" ht="15.5" x14ac:dyDescent="0.35">
      <c r="A73" s="175"/>
      <c r="B73" s="395" t="s">
        <v>281</v>
      </c>
      <c r="C73" s="396"/>
      <c r="D73" s="396"/>
      <c r="E73" s="396"/>
      <c r="F73" s="396"/>
      <c r="G73" s="397"/>
      <c r="H73" s="176">
        <f>SUM(H72)</f>
        <v>0</v>
      </c>
      <c r="I73" s="177"/>
    </row>
    <row r="74" spans="1:9" ht="16.5" customHeight="1" x14ac:dyDescent="0.35">
      <c r="A74" s="166" t="s">
        <v>282</v>
      </c>
      <c r="B74" s="399" t="s">
        <v>283</v>
      </c>
      <c r="C74" s="399"/>
      <c r="D74" s="400"/>
      <c r="E74" s="167"/>
      <c r="F74" s="166"/>
      <c r="G74" s="166"/>
      <c r="H74" s="166"/>
      <c r="I74" s="166"/>
    </row>
    <row r="75" spans="1:9" ht="48.75" customHeight="1" x14ac:dyDescent="0.35">
      <c r="A75" s="269" t="s">
        <v>70</v>
      </c>
      <c r="B75" s="409" t="s">
        <v>518</v>
      </c>
      <c r="C75" s="398"/>
      <c r="D75" s="398"/>
      <c r="E75" s="206"/>
      <c r="F75" s="78" t="s">
        <v>76</v>
      </c>
      <c r="G75" s="260" t="s">
        <v>111</v>
      </c>
      <c r="H75" s="64">
        <f>IF(E75&gt;=80,1,0)</f>
        <v>0</v>
      </c>
      <c r="I75" s="159"/>
    </row>
    <row r="76" spans="1:9" ht="50.5" customHeight="1" x14ac:dyDescent="0.35">
      <c r="A76" s="269" t="s">
        <v>223</v>
      </c>
      <c r="B76" s="410" t="s">
        <v>284</v>
      </c>
      <c r="C76" s="405"/>
      <c r="D76" s="405"/>
      <c r="E76" s="206"/>
      <c r="F76" s="78" t="s">
        <v>76</v>
      </c>
      <c r="G76" s="260" t="s">
        <v>129</v>
      </c>
      <c r="H76" s="64">
        <f>IF(E76&gt;=80,2,0)</f>
        <v>0</v>
      </c>
      <c r="I76" s="159"/>
    </row>
    <row r="77" spans="1:9" ht="15.5" x14ac:dyDescent="0.35">
      <c r="A77" s="175"/>
      <c r="B77" s="395" t="s">
        <v>285</v>
      </c>
      <c r="C77" s="396"/>
      <c r="D77" s="396"/>
      <c r="E77" s="396"/>
      <c r="F77" s="396"/>
      <c r="G77" s="397"/>
      <c r="H77" s="176">
        <f>SUM(H75:H76)</f>
        <v>0</v>
      </c>
      <c r="I77" s="177"/>
    </row>
    <row r="78" spans="1:9" ht="15.5" x14ac:dyDescent="0.35">
      <c r="A78" s="166" t="s">
        <v>286</v>
      </c>
      <c r="B78" s="399" t="s">
        <v>287</v>
      </c>
      <c r="C78" s="399"/>
      <c r="D78" s="400"/>
      <c r="E78" s="167"/>
      <c r="F78" s="166"/>
      <c r="G78" s="166"/>
      <c r="H78" s="166"/>
      <c r="I78" s="166"/>
    </row>
    <row r="79" spans="1:9" ht="100" customHeight="1" x14ac:dyDescent="0.35">
      <c r="A79" s="269"/>
      <c r="B79" s="457" t="s">
        <v>288</v>
      </c>
      <c r="C79" s="457"/>
      <c r="D79" s="457"/>
      <c r="E79" s="206"/>
      <c r="F79" s="78" t="s">
        <v>76</v>
      </c>
      <c r="G79" s="260" t="s">
        <v>289</v>
      </c>
      <c r="H79" s="64">
        <f>IF(E79&gt;=90,3,IF(E79&gt;=60,2,IF(E79&gt;=30,1,0)))</f>
        <v>0</v>
      </c>
      <c r="I79" s="18"/>
    </row>
    <row r="80" spans="1:9" ht="15.5" x14ac:dyDescent="0.35">
      <c r="A80" s="175"/>
      <c r="B80" s="395" t="s">
        <v>290</v>
      </c>
      <c r="C80" s="396"/>
      <c r="D80" s="396"/>
      <c r="E80" s="396"/>
      <c r="F80" s="396"/>
      <c r="G80" s="397"/>
      <c r="H80" s="176">
        <f>SUM(H79)</f>
        <v>0</v>
      </c>
      <c r="I80" s="177"/>
    </row>
    <row r="81" spans="1:9" ht="18.649999999999999" customHeight="1" x14ac:dyDescent="0.35">
      <c r="A81" s="163"/>
      <c r="B81" s="451" t="s">
        <v>291</v>
      </c>
      <c r="C81" s="452"/>
      <c r="D81" s="452"/>
      <c r="E81" s="452"/>
      <c r="F81" s="452"/>
      <c r="G81" s="202">
        <v>2</v>
      </c>
      <c r="H81" s="186">
        <f>SUM(H83:H84)</f>
        <v>0</v>
      </c>
      <c r="I81" s="165"/>
    </row>
    <row r="82" spans="1:9" ht="65.150000000000006" customHeight="1" x14ac:dyDescent="0.35">
      <c r="A82" s="166"/>
      <c r="B82" s="454" t="s">
        <v>292</v>
      </c>
      <c r="C82" s="454"/>
      <c r="D82" s="454"/>
      <c r="E82" s="167"/>
      <c r="F82" s="166"/>
      <c r="G82" s="205" t="s">
        <v>195</v>
      </c>
      <c r="H82" s="166"/>
      <c r="I82" s="274" t="s">
        <v>196</v>
      </c>
    </row>
    <row r="83" spans="1:9" ht="183" customHeight="1" x14ac:dyDescent="0.35">
      <c r="A83" s="269"/>
      <c r="B83" s="453" t="s">
        <v>517</v>
      </c>
      <c r="C83" s="453"/>
      <c r="D83" s="453"/>
      <c r="E83" s="206"/>
      <c r="F83" s="151" t="s">
        <v>72</v>
      </c>
      <c r="G83" s="357" t="s">
        <v>198</v>
      </c>
      <c r="H83" s="64">
        <f>E83</f>
        <v>0</v>
      </c>
      <c r="I83" s="159" t="s">
        <v>199</v>
      </c>
    </row>
    <row r="84" spans="1:9" ht="183" customHeight="1" x14ac:dyDescent="0.35">
      <c r="A84" s="36"/>
      <c r="B84" s="453"/>
      <c r="C84" s="453"/>
      <c r="D84" s="453"/>
      <c r="E84" s="206"/>
      <c r="F84" s="151" t="s">
        <v>72</v>
      </c>
      <c r="G84" s="357"/>
      <c r="H84" s="64">
        <f>E84</f>
        <v>0</v>
      </c>
      <c r="I84" s="159" t="s">
        <v>200</v>
      </c>
    </row>
  </sheetData>
  <sheetProtection algorithmName="SHA-512" hashValue="tisqyJC+QAxgsFNV700Y+y/hRYN3RxgMdC4Lj5Oa9BRo0JSqaQSdm3gGxoJ+5c5YKCenBYdGHvQWFHXOgKqadg==" saltValue="SZDhhuM0EHsFuPskW06RTQ==" spinCount="100000" sheet="1" objects="1" scenarios="1" formatCells="0" selectLockedCells="1"/>
  <mergeCells count="106">
    <mergeCell ref="B64:D64"/>
    <mergeCell ref="B66:D66"/>
    <mergeCell ref="B57:D57"/>
    <mergeCell ref="B48:D48"/>
    <mergeCell ref="B45:D45"/>
    <mergeCell ref="B46:D46"/>
    <mergeCell ref="B47:D47"/>
    <mergeCell ref="B27:D27"/>
    <mergeCell ref="B28:D28"/>
    <mergeCell ref="B32:D32"/>
    <mergeCell ref="B33:D33"/>
    <mergeCell ref="B52:D52"/>
    <mergeCell ref="B53:D53"/>
    <mergeCell ref="B54:D54"/>
    <mergeCell ref="B65:D65"/>
    <mergeCell ref="B29:D29"/>
    <mergeCell ref="B1:D1"/>
    <mergeCell ref="B3:F3"/>
    <mergeCell ref="B31:F31"/>
    <mergeCell ref="B70:F70"/>
    <mergeCell ref="G83:G84"/>
    <mergeCell ref="B83:D84"/>
    <mergeCell ref="B17:G17"/>
    <mergeCell ref="B26:G26"/>
    <mergeCell ref="B30:G30"/>
    <mergeCell ref="B58:G58"/>
    <mergeCell ref="B63:G63"/>
    <mergeCell ref="B69:G69"/>
    <mergeCell ref="B82:D82"/>
    <mergeCell ref="B71:D71"/>
    <mergeCell ref="B72:D72"/>
    <mergeCell ref="B50:D50"/>
    <mergeCell ref="B51:D51"/>
    <mergeCell ref="B55:D55"/>
    <mergeCell ref="B56:D56"/>
    <mergeCell ref="B81:F81"/>
    <mergeCell ref="B76:D76"/>
    <mergeCell ref="B78:D78"/>
    <mergeCell ref="B79:D79"/>
    <mergeCell ref="A2:F2"/>
    <mergeCell ref="B25:D25"/>
    <mergeCell ref="B16:D16"/>
    <mergeCell ref="A7:A14"/>
    <mergeCell ref="D7:D14"/>
    <mergeCell ref="B59:D59"/>
    <mergeCell ref="E7:E14"/>
    <mergeCell ref="F7:F14"/>
    <mergeCell ref="D35:D38"/>
    <mergeCell ref="A21:A25"/>
    <mergeCell ref="D40:D42"/>
    <mergeCell ref="A34:A38"/>
    <mergeCell ref="A39:A47"/>
    <mergeCell ref="E39:E42"/>
    <mergeCell ref="F39:F42"/>
    <mergeCell ref="A48:A49"/>
    <mergeCell ref="A50:A57"/>
    <mergeCell ref="B10:B14"/>
    <mergeCell ref="B8:B9"/>
    <mergeCell ref="A60:A61"/>
    <mergeCell ref="E35:E38"/>
    <mergeCell ref="F35:F38"/>
    <mergeCell ref="G35:G38"/>
    <mergeCell ref="H35:H38"/>
    <mergeCell ref="G60:G61"/>
    <mergeCell ref="B60:D61"/>
    <mergeCell ref="B49:D49"/>
    <mergeCell ref="B34:D34"/>
    <mergeCell ref="H43:H47"/>
    <mergeCell ref="H60:H61"/>
    <mergeCell ref="H52:H53"/>
    <mergeCell ref="H54:H57"/>
    <mergeCell ref="B80:G80"/>
    <mergeCell ref="G39:G42"/>
    <mergeCell ref="B19:D19"/>
    <mergeCell ref="B4:D4"/>
    <mergeCell ref="B5:D5"/>
    <mergeCell ref="B6:D6"/>
    <mergeCell ref="B15:D15"/>
    <mergeCell ref="G43:G47"/>
    <mergeCell ref="B75:D75"/>
    <mergeCell ref="B67:D67"/>
    <mergeCell ref="B68:D68"/>
    <mergeCell ref="B62:D62"/>
    <mergeCell ref="B74:D74"/>
    <mergeCell ref="B18:D18"/>
    <mergeCell ref="B39:D39"/>
    <mergeCell ref="B43:D43"/>
    <mergeCell ref="B44:D44"/>
    <mergeCell ref="G54:G57"/>
    <mergeCell ref="G52:G53"/>
    <mergeCell ref="B73:G73"/>
    <mergeCell ref="B77:G77"/>
    <mergeCell ref="G7:G14"/>
    <mergeCell ref="B7:C7"/>
    <mergeCell ref="B20:D20"/>
    <mergeCell ref="H7:H14"/>
    <mergeCell ref="I7:I14"/>
    <mergeCell ref="E21:E25"/>
    <mergeCell ref="F21:F25"/>
    <mergeCell ref="G21:G25"/>
    <mergeCell ref="I43:I47"/>
    <mergeCell ref="H39:H42"/>
    <mergeCell ref="I39:I42"/>
    <mergeCell ref="I35:I38"/>
    <mergeCell ref="H21:H25"/>
    <mergeCell ref="I21:I25"/>
  </mergeCells>
  <dataValidations count="10">
    <dataValidation type="decimal" allowBlank="1" showErrorMessage="1" error="Please enter 0.5 or 1 or 1.5 or 2." prompt="Please Enter 0 or 1 or 1.5 or 2." sqref="H83 H75:H76" xr:uid="{00000000-0002-0000-0400-000000000000}">
      <formula1>0</formula1>
      <formula2>2</formula2>
    </dataValidation>
    <dataValidation allowBlank="1" showInputMessage="1" showErrorMessage="1" prompt="Please list down short description of your innovation." sqref="I75:I76 I83:I84" xr:uid="{00000000-0002-0000-0400-000001000000}"/>
    <dataValidation allowBlank="1" showErrorMessage="1" sqref="H84" xr:uid="{00000000-0002-0000-0400-000002000000}"/>
    <dataValidation type="list" allowBlank="1" showInputMessage="1" showErrorMessage="1" sqref="E15 E66 E68 E53 E57 E55 E28" xr:uid="{00000000-0002-0000-0400-000003000000}">
      <formula1>"Y,N"</formula1>
    </dataValidation>
    <dataValidation type="decimal" allowBlank="1" showInputMessage="1" showErrorMessage="1" sqref="E20 E35:E38 E43:E47 E61:E62 E67 E54 E75:E76 E56 E52 E79" xr:uid="{00000000-0002-0000-0400-000004000000}">
      <formula1>0</formula1>
      <formula2>100</formula2>
    </dataValidation>
    <dataValidation type="whole" allowBlank="1" showInputMessage="1" showErrorMessage="1" sqref="E49" xr:uid="{00000000-0002-0000-0400-000005000000}">
      <formula1>0</formula1>
      <formula2>100</formula2>
    </dataValidation>
    <dataValidation type="list" allowBlank="1" showInputMessage="1" showErrorMessage="1" sqref="E60" xr:uid="{00000000-0002-0000-0400-000006000000}">
      <formula1>"Cost,Area"</formula1>
    </dataValidation>
    <dataValidation type="list" showErrorMessage="1" error="Please enter 0.5 or 1 or 1.5 or 2." prompt="Please Enter 0.5 or 1 or 1.5 or 2." sqref="E83:E84" xr:uid="{00000000-0002-0000-0400-000007000000}">
      <formula1>"0, 0.5, 1.0, 1.5, 2.0"</formula1>
    </dataValidation>
    <dataValidation type="decimal" allowBlank="1" showInputMessage="1" showErrorMessage="1" sqref="E19" xr:uid="{00000000-0002-0000-0400-000008000000}">
      <formula1>0</formula1>
      <formula2>10000</formula2>
    </dataValidation>
    <dataValidation type="decimal" allowBlank="1" showInputMessage="1" showErrorMessage="1" sqref="E51" xr:uid="{00000000-0002-0000-0400-000009000000}">
      <formula1>0</formula1>
      <formula2>1000000</formula2>
    </dataValidation>
  </dataValidations>
  <pageMargins left="0.7" right="0.7" top="0.75" bottom="0.75" header="0.3" footer="0.3"/>
  <pageSetup paperSize="9" orientation="portrait" r:id="rId1"/>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7799-9343-4D23-853B-2D4E555830FA}">
  <dimension ref="A1:I96"/>
  <sheetViews>
    <sheetView zoomScaleNormal="100" zoomScalePageLayoutView="85" workbookViewId="0">
      <selection activeCell="E6" sqref="E6"/>
    </sheetView>
  </sheetViews>
  <sheetFormatPr defaultColWidth="9.1796875" defaultRowHeight="14.5" x14ac:dyDescent="0.35"/>
  <cols>
    <col min="1" max="1" width="8.26953125" style="17" customWidth="1"/>
    <col min="2" max="2" width="22.26953125" style="17" customWidth="1"/>
    <col min="3" max="3" width="46.453125" style="17" customWidth="1"/>
    <col min="4" max="4" width="10.54296875" style="17" customWidth="1"/>
    <col min="5" max="5" width="10.7265625" style="299" customWidth="1"/>
    <col min="6" max="6" width="16.1796875" style="293" customWidth="1"/>
    <col min="7" max="7" width="18.1796875" style="17" customWidth="1"/>
    <col min="8" max="8" width="10.7265625" style="304" customWidth="1"/>
    <col min="9" max="9" width="30.7265625" style="17" customWidth="1"/>
    <col min="10" max="11" width="50.7265625" style="17" customWidth="1"/>
    <col min="12" max="12" width="15.54296875" style="17" customWidth="1"/>
    <col min="13" max="13" width="17.26953125" style="17" customWidth="1"/>
    <col min="14" max="16384" width="9.1796875" style="17"/>
  </cols>
  <sheetData>
    <row r="1" spans="1:9" ht="31" x14ac:dyDescent="0.35">
      <c r="A1" s="295"/>
      <c r="B1" s="465" t="s">
        <v>293</v>
      </c>
      <c r="C1" s="466"/>
      <c r="D1" s="467"/>
      <c r="E1" s="294" t="s">
        <v>64</v>
      </c>
      <c r="F1" s="294" t="s">
        <v>65</v>
      </c>
      <c r="G1" s="297" t="s">
        <v>100</v>
      </c>
      <c r="H1" s="294" t="s">
        <v>101</v>
      </c>
      <c r="I1" s="296" t="s">
        <v>102</v>
      </c>
    </row>
    <row r="2" spans="1:9" ht="21" x14ac:dyDescent="0.35">
      <c r="A2" s="468" t="s">
        <v>294</v>
      </c>
      <c r="B2" s="469"/>
      <c r="C2" s="469"/>
      <c r="D2" s="469"/>
      <c r="E2" s="469"/>
      <c r="F2" s="470"/>
      <c r="G2" s="208">
        <v>15</v>
      </c>
      <c r="H2" s="209">
        <f>MIN(SUM(H3,H45,H70,H93),15)</f>
        <v>0</v>
      </c>
      <c r="I2" s="210" t="s">
        <v>103</v>
      </c>
    </row>
    <row r="3" spans="1:9" ht="14.5" customHeight="1" x14ac:dyDescent="0.35">
      <c r="A3" s="211" t="s">
        <v>295</v>
      </c>
      <c r="B3" s="471" t="s">
        <v>296</v>
      </c>
      <c r="C3" s="472"/>
      <c r="D3" s="472"/>
      <c r="E3" s="472"/>
      <c r="F3" s="472"/>
      <c r="G3" s="212">
        <v>5</v>
      </c>
      <c r="H3" s="213">
        <f>MIN(SUM(H8,H12,H22,H35,H40,H44), 5)</f>
        <v>0</v>
      </c>
      <c r="I3" s="214"/>
    </row>
    <row r="4" spans="1:9" ht="15.5" x14ac:dyDescent="0.35">
      <c r="A4" s="215" t="s">
        <v>297</v>
      </c>
      <c r="B4" s="473" t="s">
        <v>298</v>
      </c>
      <c r="C4" s="473"/>
      <c r="D4" s="474"/>
      <c r="E4" s="216"/>
      <c r="F4" s="215"/>
      <c r="G4" s="215"/>
      <c r="H4" s="217"/>
      <c r="I4" s="215"/>
    </row>
    <row r="5" spans="1:9" ht="15.5" x14ac:dyDescent="0.35">
      <c r="A5" s="218" t="s">
        <v>299</v>
      </c>
      <c r="B5" s="475" t="s">
        <v>300</v>
      </c>
      <c r="C5" s="475"/>
      <c r="D5" s="475"/>
      <c r="E5" s="219"/>
      <c r="F5" s="218"/>
      <c r="G5" s="220"/>
      <c r="H5" s="221"/>
      <c r="I5" s="220"/>
    </row>
    <row r="6" spans="1:9" ht="80.25" customHeight="1" x14ac:dyDescent="0.35">
      <c r="A6" s="6" t="s">
        <v>221</v>
      </c>
      <c r="B6" s="457" t="s">
        <v>508</v>
      </c>
      <c r="C6" s="457"/>
      <c r="D6" s="457"/>
      <c r="E6" s="206"/>
      <c r="F6" s="270" t="s">
        <v>68</v>
      </c>
      <c r="G6" s="6" t="s">
        <v>256</v>
      </c>
      <c r="H6" s="261">
        <f>IF(E6="Y",0.5,0)</f>
        <v>0</v>
      </c>
      <c r="I6" s="236"/>
    </row>
    <row r="7" spans="1:9" ht="50.15" customHeight="1" x14ac:dyDescent="0.35">
      <c r="A7" s="6" t="s">
        <v>223</v>
      </c>
      <c r="B7" s="457" t="s">
        <v>509</v>
      </c>
      <c r="C7" s="457"/>
      <c r="D7" s="457"/>
      <c r="E7" s="206"/>
      <c r="F7" s="270" t="s">
        <v>68</v>
      </c>
      <c r="G7" s="6" t="s">
        <v>256</v>
      </c>
      <c r="H7" s="261">
        <f>IF(E7="Y",0.5,0)</f>
        <v>0</v>
      </c>
      <c r="I7" s="236"/>
    </row>
    <row r="8" spans="1:9" ht="15.5" x14ac:dyDescent="0.35">
      <c r="A8" s="462" t="s">
        <v>301</v>
      </c>
      <c r="B8" s="462"/>
      <c r="C8" s="462"/>
      <c r="D8" s="462"/>
      <c r="E8" s="462"/>
      <c r="F8" s="462"/>
      <c r="G8" s="462"/>
      <c r="H8" s="222">
        <f>SUM(H6:H7)</f>
        <v>0</v>
      </c>
      <c r="I8" s="223"/>
    </row>
    <row r="9" spans="1:9" ht="15.5" x14ac:dyDescent="0.35">
      <c r="A9" s="218" t="s">
        <v>302</v>
      </c>
      <c r="B9" s="463" t="s">
        <v>303</v>
      </c>
      <c r="C9" s="463"/>
      <c r="D9" s="463"/>
      <c r="E9" s="219"/>
      <c r="F9" s="218"/>
      <c r="G9" s="220"/>
      <c r="H9" s="221"/>
      <c r="I9" s="220"/>
    </row>
    <row r="10" spans="1:9" ht="175.5" customHeight="1" x14ac:dyDescent="0.35">
      <c r="A10" s="6" t="s">
        <v>70</v>
      </c>
      <c r="B10" s="410" t="s">
        <v>304</v>
      </c>
      <c r="C10" s="405"/>
      <c r="D10" s="464"/>
      <c r="E10" s="206"/>
      <c r="F10" s="270" t="s">
        <v>305</v>
      </c>
      <c r="G10" s="260" t="s">
        <v>306</v>
      </c>
      <c r="H10" s="261">
        <f>IF(E10="A",0.5,IF(E10="B",1,0))</f>
        <v>0</v>
      </c>
      <c r="I10" s="236"/>
    </row>
    <row r="11" spans="1:9" ht="81" customHeight="1" x14ac:dyDescent="0.35">
      <c r="A11" s="6" t="s">
        <v>73</v>
      </c>
      <c r="B11" s="405" t="s">
        <v>307</v>
      </c>
      <c r="C11" s="405"/>
      <c r="D11" s="405"/>
      <c r="E11" s="276" t="s">
        <v>118</v>
      </c>
      <c r="F11" s="270" t="s">
        <v>118</v>
      </c>
      <c r="G11" s="260" t="s">
        <v>118</v>
      </c>
      <c r="H11" s="261" t="s">
        <v>118</v>
      </c>
      <c r="I11" s="236"/>
    </row>
    <row r="12" spans="1:9" ht="15.5" x14ac:dyDescent="0.35">
      <c r="A12" s="462" t="s">
        <v>308</v>
      </c>
      <c r="B12" s="462"/>
      <c r="C12" s="462"/>
      <c r="D12" s="462"/>
      <c r="E12" s="462"/>
      <c r="F12" s="462"/>
      <c r="G12" s="462"/>
      <c r="H12" s="222">
        <f>SUM(H10:H11)</f>
        <v>0</v>
      </c>
      <c r="I12" s="223"/>
    </row>
    <row r="13" spans="1:9" ht="15.75" customHeight="1" x14ac:dyDescent="0.35">
      <c r="A13" s="215" t="s">
        <v>309</v>
      </c>
      <c r="B13" s="483" t="s">
        <v>310</v>
      </c>
      <c r="C13" s="483"/>
      <c r="D13" s="484"/>
      <c r="E13" s="216"/>
      <c r="F13" s="215"/>
      <c r="G13" s="215"/>
      <c r="H13" s="217"/>
      <c r="I13" s="215"/>
    </row>
    <row r="14" spans="1:9" ht="80.150000000000006" customHeight="1" thickBot="1" x14ac:dyDescent="0.4">
      <c r="A14" s="485"/>
      <c r="B14" s="425" t="s">
        <v>311</v>
      </c>
      <c r="C14" s="426"/>
      <c r="D14" s="464"/>
      <c r="E14" s="276"/>
      <c r="F14" s="264"/>
      <c r="G14" s="8"/>
      <c r="H14" s="261"/>
      <c r="I14" s="303"/>
    </row>
    <row r="15" spans="1:9" ht="15.5" x14ac:dyDescent="0.35">
      <c r="A15" s="486"/>
      <c r="B15" s="488" t="s">
        <v>312</v>
      </c>
      <c r="C15" s="489"/>
      <c r="D15" s="490"/>
      <c r="E15" s="491"/>
      <c r="F15" s="421"/>
      <c r="G15" s="418"/>
      <c r="H15" s="421"/>
      <c r="I15" s="476"/>
    </row>
    <row r="16" spans="1:9" ht="15" customHeight="1" x14ac:dyDescent="0.35">
      <c r="A16" s="486"/>
      <c r="B16" s="479" t="s">
        <v>313</v>
      </c>
      <c r="C16" s="480"/>
      <c r="D16" s="439"/>
      <c r="E16" s="491"/>
      <c r="F16" s="421"/>
      <c r="G16" s="418"/>
      <c r="H16" s="421"/>
      <c r="I16" s="477"/>
    </row>
    <row r="17" spans="1:9" ht="55" x14ac:dyDescent="0.35">
      <c r="A17" s="486"/>
      <c r="B17" s="224" t="s">
        <v>314</v>
      </c>
      <c r="C17" s="225" t="s">
        <v>315</v>
      </c>
      <c r="D17" s="439"/>
      <c r="E17" s="491"/>
      <c r="F17" s="421"/>
      <c r="G17" s="418"/>
      <c r="H17" s="421"/>
      <c r="I17" s="477"/>
    </row>
    <row r="18" spans="1:9" ht="43" customHeight="1" x14ac:dyDescent="0.35">
      <c r="A18" s="486"/>
      <c r="B18" s="226" t="s">
        <v>316</v>
      </c>
      <c r="C18" s="225" t="s">
        <v>317</v>
      </c>
      <c r="D18" s="439"/>
      <c r="E18" s="491"/>
      <c r="F18" s="421"/>
      <c r="G18" s="418"/>
      <c r="H18" s="421"/>
      <c r="I18" s="477"/>
    </row>
    <row r="19" spans="1:9" ht="67" customHeight="1" thickBot="1" x14ac:dyDescent="0.4">
      <c r="A19" s="486"/>
      <c r="B19" s="481" t="s">
        <v>318</v>
      </c>
      <c r="C19" s="482"/>
      <c r="D19" s="440"/>
      <c r="E19" s="491"/>
      <c r="F19" s="421"/>
      <c r="G19" s="418"/>
      <c r="H19" s="421"/>
      <c r="I19" s="478"/>
    </row>
    <row r="20" spans="1:9" ht="30" customHeight="1" x14ac:dyDescent="0.35">
      <c r="A20" s="486"/>
      <c r="B20" s="492" t="s">
        <v>319</v>
      </c>
      <c r="C20" s="493"/>
      <c r="D20" s="494"/>
      <c r="E20" s="206"/>
      <c r="F20" s="270" t="s">
        <v>305</v>
      </c>
      <c r="G20" s="357" t="s">
        <v>510</v>
      </c>
      <c r="H20" s="423">
        <f>IF(AND(E20="A",E21&gt;=60),2,0)+IF(AND(E20="B",E21&gt;=80),1,0)</f>
        <v>0</v>
      </c>
      <c r="I20" s="497"/>
    </row>
    <row r="21" spans="1:9" ht="28.5" customHeight="1" x14ac:dyDescent="0.35">
      <c r="A21" s="487"/>
      <c r="B21" s="427"/>
      <c r="C21" s="412"/>
      <c r="D21" s="428"/>
      <c r="E21" s="206"/>
      <c r="F21" s="270" t="s">
        <v>76</v>
      </c>
      <c r="G21" s="357"/>
      <c r="H21" s="430"/>
      <c r="I21" s="498"/>
    </row>
    <row r="22" spans="1:9" ht="15.5" x14ac:dyDescent="0.35">
      <c r="A22" s="462" t="s">
        <v>320</v>
      </c>
      <c r="B22" s="462"/>
      <c r="C22" s="462"/>
      <c r="D22" s="462"/>
      <c r="E22" s="462"/>
      <c r="F22" s="462"/>
      <c r="G22" s="462"/>
      <c r="H22" s="222">
        <f>SUM(H14:H21)</f>
        <v>0</v>
      </c>
      <c r="I22" s="223"/>
    </row>
    <row r="23" spans="1:9" ht="15.5" x14ac:dyDescent="0.35">
      <c r="A23" s="215" t="s">
        <v>321</v>
      </c>
      <c r="B23" s="483" t="s">
        <v>322</v>
      </c>
      <c r="C23" s="483"/>
      <c r="D23" s="483"/>
      <c r="E23" s="216"/>
      <c r="F23" s="227"/>
      <c r="G23" s="215"/>
      <c r="H23" s="217"/>
      <c r="I23" s="215"/>
    </row>
    <row r="24" spans="1:9" ht="15.75" customHeight="1" x14ac:dyDescent="0.35">
      <c r="A24" s="218" t="s">
        <v>323</v>
      </c>
      <c r="B24" s="463" t="s">
        <v>324</v>
      </c>
      <c r="C24" s="463"/>
      <c r="D24" s="463"/>
      <c r="E24" s="219"/>
      <c r="F24" s="228"/>
      <c r="G24" s="220"/>
      <c r="H24" s="221"/>
      <c r="I24" s="220"/>
    </row>
    <row r="25" spans="1:9" ht="136.5" customHeight="1" x14ac:dyDescent="0.35">
      <c r="A25" s="406" t="s">
        <v>221</v>
      </c>
      <c r="B25" s="429" t="s">
        <v>325</v>
      </c>
      <c r="C25" s="429"/>
      <c r="D25" s="429"/>
      <c r="E25" s="276" t="s">
        <v>118</v>
      </c>
      <c r="F25" s="229"/>
      <c r="G25" s="6"/>
      <c r="H25" s="261"/>
      <c r="I25" s="207"/>
    </row>
    <row r="26" spans="1:9" ht="15.5" x14ac:dyDescent="0.35">
      <c r="A26" s="407"/>
      <c r="B26" s="495" t="s">
        <v>511</v>
      </c>
      <c r="C26" s="429"/>
      <c r="D26" s="496"/>
      <c r="E26" s="276" t="s">
        <v>118</v>
      </c>
      <c r="F26" s="270" t="s">
        <v>118</v>
      </c>
      <c r="G26" s="413" t="s">
        <v>118</v>
      </c>
      <c r="H26" s="423" t="s">
        <v>118</v>
      </c>
      <c r="I26" s="207"/>
    </row>
    <row r="27" spans="1:9" ht="47.5" customHeight="1" x14ac:dyDescent="0.35">
      <c r="A27" s="407"/>
      <c r="B27" s="495" t="s">
        <v>512</v>
      </c>
      <c r="C27" s="429"/>
      <c r="D27" s="496"/>
      <c r="E27" s="276" t="s">
        <v>118</v>
      </c>
      <c r="F27" s="270" t="s">
        <v>118</v>
      </c>
      <c r="G27" s="407"/>
      <c r="H27" s="424"/>
      <c r="I27" s="207"/>
    </row>
    <row r="28" spans="1:9" ht="48" customHeight="1" x14ac:dyDescent="0.35">
      <c r="A28" s="408"/>
      <c r="B28" s="495" t="s">
        <v>326</v>
      </c>
      <c r="C28" s="429"/>
      <c r="D28" s="496"/>
      <c r="E28" s="276" t="s">
        <v>118</v>
      </c>
      <c r="F28" s="270" t="s">
        <v>118</v>
      </c>
      <c r="G28" s="408"/>
      <c r="H28" s="430"/>
      <c r="I28" s="207"/>
    </row>
    <row r="29" spans="1:9" ht="15.5" x14ac:dyDescent="0.35">
      <c r="A29" s="406" t="s">
        <v>223</v>
      </c>
      <c r="B29" s="499" t="s">
        <v>327</v>
      </c>
      <c r="C29" s="500"/>
      <c r="D29" s="501"/>
      <c r="E29" s="276"/>
      <c r="F29" s="229"/>
      <c r="G29" s="266"/>
      <c r="H29" s="272"/>
      <c r="I29" s="207"/>
    </row>
    <row r="30" spans="1:9" ht="15.5" x14ac:dyDescent="0.35">
      <c r="A30" s="407"/>
      <c r="B30" s="502" t="s">
        <v>328</v>
      </c>
      <c r="C30" s="500"/>
      <c r="D30" s="501"/>
      <c r="E30" s="206"/>
      <c r="F30" s="78" t="s">
        <v>72</v>
      </c>
      <c r="G30" s="6" t="s">
        <v>218</v>
      </c>
      <c r="H30" s="261">
        <f>IF(ISBLANK(E30),0,IF(AND(E30&lt;0.5,E30&gt;-0.5),3,0))</f>
        <v>0</v>
      </c>
      <c r="I30" s="207"/>
    </row>
    <row r="31" spans="1:9" ht="36" customHeight="1" x14ac:dyDescent="0.35">
      <c r="A31" s="407"/>
      <c r="B31" s="502" t="s">
        <v>329</v>
      </c>
      <c r="C31" s="500"/>
      <c r="D31" s="501"/>
      <c r="E31" s="206"/>
      <c r="F31" s="78" t="s">
        <v>76</v>
      </c>
      <c r="G31" s="260" t="s">
        <v>218</v>
      </c>
      <c r="H31" s="261">
        <f>IF(E31&gt;=70,3,0)</f>
        <v>0</v>
      </c>
      <c r="I31" s="207"/>
    </row>
    <row r="32" spans="1:9" ht="15.5" x14ac:dyDescent="0.35">
      <c r="A32" s="407"/>
      <c r="B32" s="503" t="s">
        <v>330</v>
      </c>
      <c r="C32" s="503"/>
      <c r="D32" s="503"/>
      <c r="E32" s="230"/>
      <c r="F32" s="78"/>
      <c r="G32" s="6"/>
      <c r="H32" s="261"/>
      <c r="I32" s="207"/>
    </row>
    <row r="33" spans="1:9" ht="46.5" x14ac:dyDescent="0.35">
      <c r="A33" s="407"/>
      <c r="B33" s="504" t="s">
        <v>331</v>
      </c>
      <c r="C33" s="504"/>
      <c r="D33" s="504"/>
      <c r="E33" s="206"/>
      <c r="F33" s="78" t="s">
        <v>76</v>
      </c>
      <c r="G33" s="260" t="s">
        <v>332</v>
      </c>
      <c r="H33" s="261">
        <f>ROUNDDOWN(E33*0.01,1)</f>
        <v>0</v>
      </c>
      <c r="I33" s="207"/>
    </row>
    <row r="34" spans="1:9" ht="78.75" customHeight="1" x14ac:dyDescent="0.35">
      <c r="A34" s="408"/>
      <c r="B34" s="505" t="s">
        <v>333</v>
      </c>
      <c r="C34" s="505"/>
      <c r="D34" s="505"/>
      <c r="E34" s="206"/>
      <c r="F34" s="78" t="s">
        <v>76</v>
      </c>
      <c r="G34" s="260" t="s">
        <v>334</v>
      </c>
      <c r="H34" s="261">
        <f>IF(E34&gt;=75,3,IF(E34&gt;=70, 2, IF(E34&gt;=60, 1, IF(E34&gt;=50,0.5, 0))))</f>
        <v>0</v>
      </c>
      <c r="I34" s="207"/>
    </row>
    <row r="35" spans="1:9" ht="15.5" x14ac:dyDescent="0.35">
      <c r="A35" s="462" t="s">
        <v>335</v>
      </c>
      <c r="B35" s="462"/>
      <c r="C35" s="462"/>
      <c r="D35" s="462"/>
      <c r="E35" s="462"/>
      <c r="F35" s="462"/>
      <c r="G35" s="462"/>
      <c r="H35" s="222">
        <f>SUM(H26,MAX(H30,H31,MIN(SUM(H33:H34),3)))</f>
        <v>0</v>
      </c>
      <c r="I35" s="223"/>
    </row>
    <row r="36" spans="1:9" ht="15.75" customHeight="1" x14ac:dyDescent="0.35">
      <c r="A36" s="218" t="s">
        <v>336</v>
      </c>
      <c r="B36" s="506" t="s">
        <v>337</v>
      </c>
      <c r="C36" s="506"/>
      <c r="D36" s="506"/>
      <c r="E36" s="219"/>
      <c r="F36" s="218"/>
      <c r="G36" s="220"/>
      <c r="H36" s="221"/>
      <c r="I36" s="220"/>
    </row>
    <row r="37" spans="1:9" ht="81" customHeight="1" x14ac:dyDescent="0.35">
      <c r="A37" s="258" t="s">
        <v>70</v>
      </c>
      <c r="B37" s="457" t="s">
        <v>338</v>
      </c>
      <c r="C37" s="457"/>
      <c r="D37" s="457"/>
      <c r="E37" s="276" t="s">
        <v>118</v>
      </c>
      <c r="F37" s="270" t="s">
        <v>118</v>
      </c>
      <c r="G37" s="260" t="s">
        <v>118</v>
      </c>
      <c r="H37" s="261" t="s">
        <v>118</v>
      </c>
      <c r="I37" s="207"/>
    </row>
    <row r="38" spans="1:9" ht="33.65" customHeight="1" x14ac:dyDescent="0.35">
      <c r="A38" s="258" t="s">
        <v>73</v>
      </c>
      <c r="B38" s="457" t="s">
        <v>339</v>
      </c>
      <c r="C38" s="457"/>
      <c r="D38" s="457"/>
      <c r="E38" s="276" t="s">
        <v>118</v>
      </c>
      <c r="F38" s="270" t="s">
        <v>118</v>
      </c>
      <c r="G38" s="260" t="s">
        <v>118</v>
      </c>
      <c r="H38" s="261" t="s">
        <v>118</v>
      </c>
      <c r="I38" s="207"/>
    </row>
    <row r="39" spans="1:9" ht="63" customHeight="1" x14ac:dyDescent="0.35">
      <c r="A39" s="258" t="s">
        <v>77</v>
      </c>
      <c r="B39" s="457" t="s">
        <v>340</v>
      </c>
      <c r="C39" s="457"/>
      <c r="D39" s="457"/>
      <c r="E39" s="276" t="s">
        <v>118</v>
      </c>
      <c r="F39" s="270" t="s">
        <v>118</v>
      </c>
      <c r="G39" s="260" t="s">
        <v>118</v>
      </c>
      <c r="H39" s="261" t="s">
        <v>118</v>
      </c>
      <c r="I39" s="207"/>
    </row>
    <row r="40" spans="1:9" ht="15.5" x14ac:dyDescent="0.35">
      <c r="A40" s="462" t="s">
        <v>341</v>
      </c>
      <c r="B40" s="462"/>
      <c r="C40" s="462"/>
      <c r="D40" s="462"/>
      <c r="E40" s="462"/>
      <c r="F40" s="462"/>
      <c r="G40" s="462"/>
      <c r="H40" s="222">
        <f>SUM(H37:H39)</f>
        <v>0</v>
      </c>
      <c r="I40" s="223"/>
    </row>
    <row r="41" spans="1:9" ht="15.75" customHeight="1" x14ac:dyDescent="0.35">
      <c r="A41" s="218" t="s">
        <v>342</v>
      </c>
      <c r="B41" s="506" t="s">
        <v>343</v>
      </c>
      <c r="C41" s="506"/>
      <c r="D41" s="506"/>
      <c r="E41" s="219"/>
      <c r="F41" s="218"/>
      <c r="G41" s="220"/>
      <c r="H41" s="221"/>
      <c r="I41" s="220"/>
    </row>
    <row r="42" spans="1:9" ht="15.65" customHeight="1" x14ac:dyDescent="0.35">
      <c r="A42" s="258" t="s">
        <v>70</v>
      </c>
      <c r="B42" s="507" t="s">
        <v>344</v>
      </c>
      <c r="C42" s="507"/>
      <c r="D42" s="507"/>
      <c r="E42" s="276" t="s">
        <v>118</v>
      </c>
      <c r="F42" s="270" t="s">
        <v>118</v>
      </c>
      <c r="G42" s="260" t="s">
        <v>118</v>
      </c>
      <c r="H42" s="261" t="s">
        <v>118</v>
      </c>
      <c r="I42" s="207"/>
    </row>
    <row r="43" spans="1:9" ht="64.5" customHeight="1" x14ac:dyDescent="0.35">
      <c r="A43" s="258" t="s">
        <v>73</v>
      </c>
      <c r="B43" s="457" t="s">
        <v>345</v>
      </c>
      <c r="C43" s="457"/>
      <c r="D43" s="457"/>
      <c r="E43" s="276" t="s">
        <v>118</v>
      </c>
      <c r="F43" s="270" t="s">
        <v>118</v>
      </c>
      <c r="G43" s="260" t="s">
        <v>118</v>
      </c>
      <c r="H43" s="261" t="s">
        <v>118</v>
      </c>
      <c r="I43" s="207"/>
    </row>
    <row r="44" spans="1:9" ht="15.5" x14ac:dyDescent="0.35">
      <c r="A44" s="462" t="s">
        <v>346</v>
      </c>
      <c r="B44" s="462"/>
      <c r="C44" s="462"/>
      <c r="D44" s="462"/>
      <c r="E44" s="462"/>
      <c r="F44" s="462"/>
      <c r="G44" s="462"/>
      <c r="H44" s="222">
        <f>SUM(H42:H43)</f>
        <v>0</v>
      </c>
      <c r="I44" s="223"/>
    </row>
    <row r="45" spans="1:9" ht="15.5" x14ac:dyDescent="0.35">
      <c r="A45" s="211" t="s">
        <v>347</v>
      </c>
      <c r="B45" s="508" t="s">
        <v>348</v>
      </c>
      <c r="C45" s="508"/>
      <c r="D45" s="508"/>
      <c r="E45" s="508"/>
      <c r="F45" s="508"/>
      <c r="G45" s="211">
        <v>5</v>
      </c>
      <c r="H45" s="231">
        <f>MIN(SUM(H52,H58,H62,H69),5)</f>
        <v>0</v>
      </c>
      <c r="I45" s="232"/>
    </row>
    <row r="46" spans="1:9" ht="15.5" x14ac:dyDescent="0.35">
      <c r="A46" s="215" t="s">
        <v>349</v>
      </c>
      <c r="B46" s="509" t="s">
        <v>350</v>
      </c>
      <c r="C46" s="510"/>
      <c r="D46" s="510"/>
      <c r="E46" s="216"/>
      <c r="F46" s="215"/>
      <c r="G46" s="215">
        <v>5</v>
      </c>
      <c r="H46" s="217"/>
      <c r="I46" s="215"/>
    </row>
    <row r="47" spans="1:9" ht="48.65" customHeight="1" x14ac:dyDescent="0.35">
      <c r="A47" s="233"/>
      <c r="B47" s="453" t="s">
        <v>351</v>
      </c>
      <c r="C47" s="453"/>
      <c r="D47" s="453"/>
      <c r="E47" s="276"/>
      <c r="F47" s="78"/>
      <c r="G47" s="260"/>
      <c r="H47" s="261"/>
      <c r="I47" s="207"/>
    </row>
    <row r="48" spans="1:9" ht="15.75" customHeight="1" x14ac:dyDescent="0.35">
      <c r="A48" s="258" t="s">
        <v>70</v>
      </c>
      <c r="B48" s="457" t="s">
        <v>352</v>
      </c>
      <c r="C48" s="457"/>
      <c r="D48" s="457"/>
      <c r="E48" s="206"/>
      <c r="F48" s="78" t="s">
        <v>68</v>
      </c>
      <c r="G48" s="260" t="s">
        <v>111</v>
      </c>
      <c r="H48" s="261">
        <f>IF(E48="Y",1,0)</f>
        <v>0</v>
      </c>
      <c r="I48" s="207"/>
    </row>
    <row r="49" spans="1:9" ht="32.15" customHeight="1" x14ac:dyDescent="0.35">
      <c r="A49" s="258" t="s">
        <v>73</v>
      </c>
      <c r="B49" s="457" t="s">
        <v>353</v>
      </c>
      <c r="C49" s="457"/>
      <c r="D49" s="457"/>
      <c r="E49" s="206"/>
      <c r="F49" s="78" t="s">
        <v>68</v>
      </c>
      <c r="G49" s="260" t="s">
        <v>256</v>
      </c>
      <c r="H49" s="261">
        <f t="shared" ref="H49:H51" si="0">IF(E49="Y",0.5,0)</f>
        <v>0</v>
      </c>
      <c r="I49" s="207"/>
    </row>
    <row r="50" spans="1:9" ht="32.15" customHeight="1" x14ac:dyDescent="0.35">
      <c r="A50" s="258" t="s">
        <v>77</v>
      </c>
      <c r="B50" s="457" t="s">
        <v>354</v>
      </c>
      <c r="C50" s="457"/>
      <c r="D50" s="457"/>
      <c r="E50" s="206"/>
      <c r="F50" s="78" t="s">
        <v>68</v>
      </c>
      <c r="G50" s="260" t="s">
        <v>256</v>
      </c>
      <c r="H50" s="261">
        <f t="shared" si="0"/>
        <v>0</v>
      </c>
      <c r="I50" s="207"/>
    </row>
    <row r="51" spans="1:9" ht="31.5" customHeight="1" x14ac:dyDescent="0.35">
      <c r="A51" s="258" t="s">
        <v>80</v>
      </c>
      <c r="B51" s="457" t="s">
        <v>355</v>
      </c>
      <c r="C51" s="457" t="s">
        <v>240</v>
      </c>
      <c r="D51" s="457"/>
      <c r="E51" s="206"/>
      <c r="F51" s="78" t="s">
        <v>68</v>
      </c>
      <c r="G51" s="260" t="s">
        <v>256</v>
      </c>
      <c r="H51" s="261">
        <f t="shared" si="0"/>
        <v>0</v>
      </c>
      <c r="I51" s="207"/>
    </row>
    <row r="52" spans="1:9" ht="15.5" x14ac:dyDescent="0.35">
      <c r="A52" s="462" t="s">
        <v>356</v>
      </c>
      <c r="B52" s="462"/>
      <c r="C52" s="462"/>
      <c r="D52" s="462"/>
      <c r="E52" s="462"/>
      <c r="F52" s="462"/>
      <c r="G52" s="462"/>
      <c r="H52" s="222">
        <f>SUM(H48:H51)</f>
        <v>0</v>
      </c>
      <c r="I52" s="223"/>
    </row>
    <row r="53" spans="1:9" ht="15.5" x14ac:dyDescent="0.35">
      <c r="A53" s="215" t="s">
        <v>357</v>
      </c>
      <c r="B53" s="509" t="s">
        <v>358</v>
      </c>
      <c r="C53" s="510"/>
      <c r="D53" s="510"/>
      <c r="E53" s="216"/>
      <c r="F53" s="215"/>
      <c r="G53" s="215"/>
      <c r="H53" s="217"/>
      <c r="I53" s="215"/>
    </row>
    <row r="54" spans="1:9" ht="32.15" customHeight="1" x14ac:dyDescent="0.35">
      <c r="A54" s="258"/>
      <c r="B54" s="457" t="s">
        <v>359</v>
      </c>
      <c r="C54" s="457"/>
      <c r="D54" s="457"/>
      <c r="E54" s="276"/>
      <c r="F54" s="270"/>
      <c r="G54" s="6"/>
      <c r="H54" s="261"/>
      <c r="I54" s="153"/>
    </row>
    <row r="55" spans="1:9" ht="31" customHeight="1" x14ac:dyDescent="0.35">
      <c r="A55" s="258" t="s">
        <v>70</v>
      </c>
      <c r="B55" s="457" t="s">
        <v>360</v>
      </c>
      <c r="C55" s="457"/>
      <c r="D55" s="457"/>
      <c r="E55" s="276" t="s">
        <v>118</v>
      </c>
      <c r="F55" s="270" t="s">
        <v>118</v>
      </c>
      <c r="G55" s="260" t="s">
        <v>118</v>
      </c>
      <c r="H55" s="261" t="s">
        <v>118</v>
      </c>
      <c r="I55" s="153"/>
    </row>
    <row r="56" spans="1:9" ht="64.5" customHeight="1" x14ac:dyDescent="0.35">
      <c r="A56" s="258" t="s">
        <v>73</v>
      </c>
      <c r="B56" s="457" t="s">
        <v>361</v>
      </c>
      <c r="C56" s="457"/>
      <c r="D56" s="457"/>
      <c r="E56" s="276" t="s">
        <v>118</v>
      </c>
      <c r="F56" s="270" t="s">
        <v>118</v>
      </c>
      <c r="G56" s="260" t="s">
        <v>118</v>
      </c>
      <c r="H56" s="261" t="s">
        <v>118</v>
      </c>
      <c r="I56" s="153"/>
    </row>
    <row r="57" spans="1:9" ht="82" customHeight="1" x14ac:dyDescent="0.35">
      <c r="A57" s="258" t="s">
        <v>77</v>
      </c>
      <c r="B57" s="457" t="s">
        <v>513</v>
      </c>
      <c r="C57" s="457" t="s">
        <v>244</v>
      </c>
      <c r="D57" s="457"/>
      <c r="E57" s="206"/>
      <c r="F57" s="78" t="s">
        <v>68</v>
      </c>
      <c r="G57" s="260" t="s">
        <v>129</v>
      </c>
      <c r="H57" s="261">
        <f>IF(E57="Y",2,0)</f>
        <v>0</v>
      </c>
      <c r="I57" s="153"/>
    </row>
    <row r="58" spans="1:9" ht="15.5" x14ac:dyDescent="0.35">
      <c r="A58" s="462" t="s">
        <v>362</v>
      </c>
      <c r="B58" s="462"/>
      <c r="C58" s="462"/>
      <c r="D58" s="462"/>
      <c r="E58" s="462"/>
      <c r="F58" s="462"/>
      <c r="G58" s="462"/>
      <c r="H58" s="222">
        <f>SUM(H55:H57)</f>
        <v>0</v>
      </c>
      <c r="I58" s="223"/>
    </row>
    <row r="59" spans="1:9" ht="15.5" x14ac:dyDescent="0.35">
      <c r="A59" s="215" t="s">
        <v>363</v>
      </c>
      <c r="B59" s="509" t="s">
        <v>364</v>
      </c>
      <c r="C59" s="510" t="s">
        <v>246</v>
      </c>
      <c r="D59" s="510"/>
      <c r="E59" s="216"/>
      <c r="F59" s="215"/>
      <c r="G59" s="215"/>
      <c r="H59" s="217"/>
      <c r="I59" s="215"/>
    </row>
    <row r="60" spans="1:9" ht="15.75" customHeight="1" x14ac:dyDescent="0.35">
      <c r="A60" s="218" t="s">
        <v>365</v>
      </c>
      <c r="B60" s="506" t="s">
        <v>366</v>
      </c>
      <c r="C60" s="506"/>
      <c r="D60" s="506"/>
      <c r="E60" s="219"/>
      <c r="F60" s="218"/>
      <c r="G60" s="220"/>
      <c r="H60" s="221"/>
      <c r="I60" s="220"/>
    </row>
    <row r="61" spans="1:9" ht="97.5" customHeight="1" x14ac:dyDescent="0.35">
      <c r="A61" s="258"/>
      <c r="B61" s="457" t="s">
        <v>367</v>
      </c>
      <c r="C61" s="457"/>
      <c r="D61" s="457"/>
      <c r="E61" s="206"/>
      <c r="F61" s="270" t="s">
        <v>68</v>
      </c>
      <c r="G61" s="260" t="s">
        <v>256</v>
      </c>
      <c r="H61" s="261">
        <f t="shared" ref="H61" si="1">IF(E61="Y",0.5,0)</f>
        <v>0</v>
      </c>
      <c r="I61" s="153"/>
    </row>
    <row r="62" spans="1:9" ht="15.5" x14ac:dyDescent="0.35">
      <c r="A62" s="462" t="s">
        <v>368</v>
      </c>
      <c r="B62" s="462"/>
      <c r="C62" s="462"/>
      <c r="D62" s="462"/>
      <c r="E62" s="462"/>
      <c r="F62" s="462"/>
      <c r="G62" s="462"/>
      <c r="H62" s="222">
        <f>H61</f>
        <v>0</v>
      </c>
      <c r="I62" s="223"/>
    </row>
    <row r="63" spans="1:9" ht="15.75" customHeight="1" x14ac:dyDescent="0.35">
      <c r="A63" s="218" t="s">
        <v>369</v>
      </c>
      <c r="B63" s="506" t="s">
        <v>370</v>
      </c>
      <c r="C63" s="506"/>
      <c r="D63" s="506"/>
      <c r="E63" s="219"/>
      <c r="F63" s="218" t="s">
        <v>76</v>
      </c>
      <c r="G63" s="220"/>
      <c r="H63" s="221"/>
      <c r="I63" s="220"/>
    </row>
    <row r="64" spans="1:9" ht="15.5" x14ac:dyDescent="0.35">
      <c r="A64" s="258"/>
      <c r="B64" s="457" t="s">
        <v>371</v>
      </c>
      <c r="C64" s="511"/>
      <c r="D64" s="511"/>
      <c r="E64" s="276"/>
      <c r="F64" s="270"/>
      <c r="G64" s="260"/>
      <c r="H64" s="261"/>
      <c r="I64" s="153"/>
    </row>
    <row r="65" spans="1:9" ht="33.65" customHeight="1" x14ac:dyDescent="0.35">
      <c r="A65" s="258" t="s">
        <v>70</v>
      </c>
      <c r="B65" s="457" t="s">
        <v>372</v>
      </c>
      <c r="C65" s="511"/>
      <c r="D65" s="511"/>
      <c r="E65" s="206"/>
      <c r="F65" s="270" t="s">
        <v>68</v>
      </c>
      <c r="G65" s="260" t="s">
        <v>373</v>
      </c>
      <c r="H65" s="261">
        <f>IF(E65="Y",1.5,0)</f>
        <v>0</v>
      </c>
      <c r="I65" s="153"/>
    </row>
    <row r="66" spans="1:9" ht="80.150000000000006" customHeight="1" x14ac:dyDescent="0.35">
      <c r="A66" s="258" t="s">
        <v>73</v>
      </c>
      <c r="B66" s="457" t="s">
        <v>514</v>
      </c>
      <c r="C66" s="511"/>
      <c r="D66" s="511"/>
      <c r="E66" s="206"/>
      <c r="F66" s="270" t="s">
        <v>68</v>
      </c>
      <c r="G66" s="260" t="s">
        <v>256</v>
      </c>
      <c r="H66" s="261">
        <f t="shared" ref="H66" si="2">IF(E66="Y",0.5,0)</f>
        <v>0</v>
      </c>
      <c r="I66" s="153"/>
    </row>
    <row r="67" spans="1:9" ht="34" customHeight="1" x14ac:dyDescent="0.35">
      <c r="A67" s="258" t="s">
        <v>77</v>
      </c>
      <c r="B67" s="457" t="s">
        <v>374</v>
      </c>
      <c r="C67" s="511"/>
      <c r="D67" s="511"/>
      <c r="E67" s="276" t="s">
        <v>118</v>
      </c>
      <c r="F67" s="270" t="s">
        <v>118</v>
      </c>
      <c r="G67" s="260" t="s">
        <v>118</v>
      </c>
      <c r="H67" s="261" t="s">
        <v>118</v>
      </c>
      <c r="I67" s="153"/>
    </row>
    <row r="68" spans="1:9" ht="49" customHeight="1" x14ac:dyDescent="0.35">
      <c r="A68" s="258" t="s">
        <v>80</v>
      </c>
      <c r="B68" s="457" t="s">
        <v>375</v>
      </c>
      <c r="C68" s="511"/>
      <c r="D68" s="511"/>
      <c r="E68" s="276" t="s">
        <v>118</v>
      </c>
      <c r="F68" s="270" t="s">
        <v>118</v>
      </c>
      <c r="G68" s="260" t="s">
        <v>118</v>
      </c>
      <c r="H68" s="261" t="s">
        <v>118</v>
      </c>
      <c r="I68" s="153"/>
    </row>
    <row r="69" spans="1:9" ht="15.5" x14ac:dyDescent="0.35">
      <c r="A69" s="462" t="s">
        <v>376</v>
      </c>
      <c r="B69" s="462"/>
      <c r="C69" s="462"/>
      <c r="D69" s="462"/>
      <c r="E69" s="462"/>
      <c r="F69" s="462"/>
      <c r="G69" s="462"/>
      <c r="H69" s="222">
        <f>SUM(H65:H68)</f>
        <v>0</v>
      </c>
      <c r="I69" s="223"/>
    </row>
    <row r="70" spans="1:9" ht="15.5" x14ac:dyDescent="0.35">
      <c r="A70" s="211" t="s">
        <v>377</v>
      </c>
      <c r="B70" s="508" t="s">
        <v>378</v>
      </c>
      <c r="C70" s="508"/>
      <c r="D70" s="508"/>
      <c r="E70" s="508"/>
      <c r="F70" s="508" t="s">
        <v>72</v>
      </c>
      <c r="G70" s="211">
        <v>5</v>
      </c>
      <c r="H70" s="231">
        <f>MIN(SUM(H73,H79,H82,H86,H92),5)</f>
        <v>0</v>
      </c>
      <c r="I70" s="232"/>
    </row>
    <row r="71" spans="1:9" ht="15.5" x14ac:dyDescent="0.35">
      <c r="A71" s="215" t="s">
        <v>379</v>
      </c>
      <c r="B71" s="509" t="s">
        <v>380</v>
      </c>
      <c r="C71" s="510"/>
      <c r="D71" s="510"/>
      <c r="E71" s="216"/>
      <c r="F71" s="215" t="s">
        <v>72</v>
      </c>
      <c r="G71" s="215" t="s">
        <v>118</v>
      </c>
      <c r="H71" s="217"/>
      <c r="I71" s="215"/>
    </row>
    <row r="72" spans="1:9" ht="50.25" customHeight="1" x14ac:dyDescent="0.35">
      <c r="A72" s="258"/>
      <c r="B72" s="511" t="s">
        <v>515</v>
      </c>
      <c r="C72" s="511"/>
      <c r="D72" s="511"/>
      <c r="E72" s="206"/>
      <c r="F72" s="270" t="s">
        <v>305</v>
      </c>
      <c r="G72" s="260" t="s">
        <v>224</v>
      </c>
      <c r="H72" s="261">
        <f>IF(E72="A",1,IF(E72="B",2,0))</f>
        <v>0</v>
      </c>
      <c r="I72" s="153"/>
    </row>
    <row r="73" spans="1:9" ht="15.5" x14ac:dyDescent="0.35">
      <c r="A73" s="462" t="s">
        <v>381</v>
      </c>
      <c r="B73" s="462"/>
      <c r="C73" s="462"/>
      <c r="D73" s="462"/>
      <c r="E73" s="462"/>
      <c r="F73" s="462"/>
      <c r="G73" s="462"/>
      <c r="H73" s="222">
        <f>H72</f>
        <v>0</v>
      </c>
      <c r="I73" s="223"/>
    </row>
    <row r="74" spans="1:9" ht="15.5" x14ac:dyDescent="0.35">
      <c r="A74" s="215" t="s">
        <v>382</v>
      </c>
      <c r="B74" s="509" t="s">
        <v>383</v>
      </c>
      <c r="C74" s="510"/>
      <c r="D74" s="510"/>
      <c r="E74" s="216"/>
      <c r="F74" s="215"/>
      <c r="G74" s="215"/>
      <c r="H74" s="217"/>
      <c r="I74" s="215"/>
    </row>
    <row r="75" spans="1:9" ht="15.75" customHeight="1" x14ac:dyDescent="0.35">
      <c r="A75" s="218" t="s">
        <v>384</v>
      </c>
      <c r="B75" s="506" t="s">
        <v>385</v>
      </c>
      <c r="C75" s="506"/>
      <c r="D75" s="506"/>
      <c r="E75" s="219"/>
      <c r="F75" s="218"/>
      <c r="G75" s="220"/>
      <c r="H75" s="221"/>
      <c r="I75" s="220"/>
    </row>
    <row r="76" spans="1:9" ht="66.650000000000006" customHeight="1" x14ac:dyDescent="0.35">
      <c r="A76" s="258"/>
      <c r="B76" s="457" t="s">
        <v>386</v>
      </c>
      <c r="C76" s="457"/>
      <c r="D76" s="457"/>
      <c r="E76" s="276"/>
      <c r="F76" s="270"/>
      <c r="G76" s="197"/>
      <c r="H76" s="200"/>
      <c r="I76" s="237"/>
    </row>
    <row r="77" spans="1:9" ht="51" customHeight="1" x14ac:dyDescent="0.35">
      <c r="A77" s="258" t="s">
        <v>70</v>
      </c>
      <c r="B77" s="457" t="s">
        <v>387</v>
      </c>
      <c r="C77" s="457"/>
      <c r="D77" s="457"/>
      <c r="E77" s="276" t="s">
        <v>118</v>
      </c>
      <c r="F77" s="270" t="s">
        <v>118</v>
      </c>
      <c r="G77" s="260" t="s">
        <v>118</v>
      </c>
      <c r="H77" s="261" t="s">
        <v>118</v>
      </c>
      <c r="I77" s="237"/>
    </row>
    <row r="78" spans="1:9" ht="36.65" customHeight="1" x14ac:dyDescent="0.35">
      <c r="A78" s="258" t="s">
        <v>73</v>
      </c>
      <c r="B78" s="457" t="s">
        <v>388</v>
      </c>
      <c r="C78" s="457"/>
      <c r="D78" s="457"/>
      <c r="E78" s="206"/>
      <c r="F78" s="78" t="s">
        <v>68</v>
      </c>
      <c r="G78" s="260" t="s">
        <v>111</v>
      </c>
      <c r="H78" s="261">
        <f>IF(E78="Y",1,0)</f>
        <v>0</v>
      </c>
      <c r="I78" s="237"/>
    </row>
    <row r="79" spans="1:9" ht="15.5" x14ac:dyDescent="0.35">
      <c r="A79" s="462" t="s">
        <v>389</v>
      </c>
      <c r="B79" s="462"/>
      <c r="C79" s="462"/>
      <c r="D79" s="462"/>
      <c r="E79" s="462"/>
      <c r="F79" s="462"/>
      <c r="G79" s="462"/>
      <c r="H79" s="222">
        <f>SUM(H77:H78)</f>
        <v>0</v>
      </c>
      <c r="I79" s="223"/>
    </row>
    <row r="80" spans="1:9" ht="15.75" customHeight="1" x14ac:dyDescent="0.35">
      <c r="A80" s="218" t="s">
        <v>390</v>
      </c>
      <c r="B80" s="506" t="s">
        <v>391</v>
      </c>
      <c r="C80" s="506"/>
      <c r="D80" s="506"/>
      <c r="E80" s="219"/>
      <c r="F80" s="218"/>
      <c r="G80" s="220"/>
      <c r="H80" s="221"/>
      <c r="I80" s="220"/>
    </row>
    <row r="81" spans="1:9" ht="80.5" customHeight="1" x14ac:dyDescent="0.35">
      <c r="A81" s="258"/>
      <c r="B81" s="457" t="s">
        <v>516</v>
      </c>
      <c r="C81" s="457"/>
      <c r="D81" s="457"/>
      <c r="E81" s="206"/>
      <c r="F81" s="270" t="s">
        <v>68</v>
      </c>
      <c r="G81" s="260" t="s">
        <v>111</v>
      </c>
      <c r="H81" s="261">
        <f>IF(E81="Y",1,0)</f>
        <v>0</v>
      </c>
      <c r="I81" s="237"/>
    </row>
    <row r="82" spans="1:9" ht="15.5" x14ac:dyDescent="0.35">
      <c r="A82" s="462" t="s">
        <v>392</v>
      </c>
      <c r="B82" s="462"/>
      <c r="C82" s="462"/>
      <c r="D82" s="462"/>
      <c r="E82" s="462"/>
      <c r="F82" s="462"/>
      <c r="G82" s="462"/>
      <c r="H82" s="222">
        <f>SUM(H80:H81)</f>
        <v>0</v>
      </c>
      <c r="I82" s="223"/>
    </row>
    <row r="83" spans="1:9" ht="15.5" x14ac:dyDescent="0.35">
      <c r="A83" s="215" t="s">
        <v>393</v>
      </c>
      <c r="B83" s="509" t="s">
        <v>394</v>
      </c>
      <c r="C83" s="510"/>
      <c r="D83" s="510"/>
      <c r="E83" s="216"/>
      <c r="F83" s="215"/>
      <c r="G83" s="215"/>
      <c r="H83" s="217"/>
      <c r="I83" s="215"/>
    </row>
    <row r="84" spans="1:9" ht="15.75" customHeight="1" x14ac:dyDescent="0.35">
      <c r="A84" s="218" t="s">
        <v>395</v>
      </c>
      <c r="B84" s="506" t="s">
        <v>396</v>
      </c>
      <c r="C84" s="506"/>
      <c r="D84" s="506"/>
      <c r="E84" s="219"/>
      <c r="F84" s="218"/>
      <c r="G84" s="220"/>
      <c r="H84" s="221"/>
      <c r="I84" s="220"/>
    </row>
    <row r="85" spans="1:9" ht="65.25" customHeight="1" x14ac:dyDescent="0.35">
      <c r="A85" s="269" t="s">
        <v>70</v>
      </c>
      <c r="B85" s="457" t="s">
        <v>397</v>
      </c>
      <c r="C85" s="457"/>
      <c r="D85" s="457"/>
      <c r="E85" s="77" t="s">
        <v>118</v>
      </c>
      <c r="F85" s="78" t="s">
        <v>118</v>
      </c>
      <c r="G85" s="260" t="s">
        <v>118</v>
      </c>
      <c r="H85" s="64" t="s">
        <v>118</v>
      </c>
      <c r="I85" s="153"/>
    </row>
    <row r="86" spans="1:9" ht="15.5" x14ac:dyDescent="0.35">
      <c r="A86" s="462" t="s">
        <v>398</v>
      </c>
      <c r="B86" s="462"/>
      <c r="C86" s="462"/>
      <c r="D86" s="462"/>
      <c r="E86" s="462"/>
      <c r="F86" s="462"/>
      <c r="G86" s="462"/>
      <c r="H86" s="222">
        <v>0</v>
      </c>
      <c r="I86" s="223"/>
    </row>
    <row r="87" spans="1:9" ht="15.75" customHeight="1" x14ac:dyDescent="0.35">
      <c r="A87" s="218" t="s">
        <v>399</v>
      </c>
      <c r="B87" s="506" t="s">
        <v>400</v>
      </c>
      <c r="C87" s="506"/>
      <c r="D87" s="506"/>
      <c r="E87" s="219"/>
      <c r="F87" s="218"/>
      <c r="G87" s="220"/>
      <c r="H87" s="221"/>
      <c r="I87" s="220"/>
    </row>
    <row r="88" spans="1:9" ht="34.5" customHeight="1" x14ac:dyDescent="0.35">
      <c r="A88" s="269"/>
      <c r="B88" s="457" t="s">
        <v>401</v>
      </c>
      <c r="C88" s="457"/>
      <c r="D88" s="457"/>
      <c r="E88" s="276"/>
      <c r="F88" s="78"/>
      <c r="G88" s="260"/>
      <c r="H88" s="64"/>
      <c r="I88" s="153"/>
    </row>
    <row r="89" spans="1:9" ht="80.5" customHeight="1" x14ac:dyDescent="0.35">
      <c r="A89" s="6" t="s">
        <v>70</v>
      </c>
      <c r="B89" s="457" t="s">
        <v>402</v>
      </c>
      <c r="C89" s="457"/>
      <c r="D89" s="457"/>
      <c r="E89" s="206"/>
      <c r="F89" s="270" t="s">
        <v>68</v>
      </c>
      <c r="G89" s="260" t="s">
        <v>256</v>
      </c>
      <c r="H89" s="261">
        <f t="shared" ref="H89" si="3">IF(E89="Y",0.5,0)</f>
        <v>0</v>
      </c>
      <c r="I89" s="153"/>
    </row>
    <row r="90" spans="1:9" ht="15.5" x14ac:dyDescent="0.35">
      <c r="A90" s="269" t="s">
        <v>73</v>
      </c>
      <c r="B90" s="457" t="s">
        <v>403</v>
      </c>
      <c r="C90" s="457"/>
      <c r="D90" s="457"/>
      <c r="E90" s="77" t="s">
        <v>118</v>
      </c>
      <c r="F90" s="78" t="s">
        <v>118</v>
      </c>
      <c r="G90" s="260" t="s">
        <v>118</v>
      </c>
      <c r="H90" s="64" t="s">
        <v>118</v>
      </c>
      <c r="I90" s="153"/>
    </row>
    <row r="91" spans="1:9" ht="15.5" x14ac:dyDescent="0.35">
      <c r="A91" s="269" t="s">
        <v>77</v>
      </c>
      <c r="B91" s="457" t="s">
        <v>404</v>
      </c>
      <c r="C91" s="457"/>
      <c r="D91" s="457"/>
      <c r="E91" s="77" t="s">
        <v>118</v>
      </c>
      <c r="F91" s="78" t="s">
        <v>118</v>
      </c>
      <c r="G91" s="260" t="s">
        <v>118</v>
      </c>
      <c r="H91" s="64" t="s">
        <v>118</v>
      </c>
      <c r="I91" s="153"/>
    </row>
    <row r="92" spans="1:9" ht="15.5" x14ac:dyDescent="0.35">
      <c r="A92" s="462" t="s">
        <v>405</v>
      </c>
      <c r="B92" s="462"/>
      <c r="C92" s="462"/>
      <c r="D92" s="462"/>
      <c r="E92" s="462"/>
      <c r="F92" s="462"/>
      <c r="G92" s="462"/>
      <c r="H92" s="222">
        <f>SUM(H89:H91)</f>
        <v>0</v>
      </c>
      <c r="I92" s="223"/>
    </row>
    <row r="93" spans="1:9" ht="15.5" x14ac:dyDescent="0.35">
      <c r="A93" s="211"/>
      <c r="B93" s="508" t="s">
        <v>291</v>
      </c>
      <c r="C93" s="508"/>
      <c r="D93" s="508"/>
      <c r="E93" s="508"/>
      <c r="F93" s="508"/>
      <c r="G93" s="211">
        <v>2</v>
      </c>
      <c r="H93" s="231">
        <f>MIN(SUM(H95:H96),2)</f>
        <v>0</v>
      </c>
      <c r="I93" s="232"/>
    </row>
    <row r="94" spans="1:9" ht="62" x14ac:dyDescent="0.35">
      <c r="A94" s="218"/>
      <c r="B94" s="512" t="s">
        <v>406</v>
      </c>
      <c r="C94" s="512"/>
      <c r="D94" s="512"/>
      <c r="E94" s="234"/>
      <c r="F94" s="218"/>
      <c r="G94" s="235" t="s">
        <v>195</v>
      </c>
      <c r="H94" s="234"/>
      <c r="I94" s="275" t="s">
        <v>196</v>
      </c>
    </row>
    <row r="95" spans="1:9" ht="120.75" customHeight="1" x14ac:dyDescent="0.35">
      <c r="A95" s="269"/>
      <c r="B95" s="457" t="s">
        <v>407</v>
      </c>
      <c r="C95" s="457"/>
      <c r="D95" s="457"/>
      <c r="E95" s="206"/>
      <c r="F95" s="151" t="s">
        <v>72</v>
      </c>
      <c r="G95" s="357" t="s">
        <v>408</v>
      </c>
      <c r="H95" s="64">
        <f>E95</f>
        <v>0</v>
      </c>
      <c r="I95" s="159" t="s">
        <v>199</v>
      </c>
    </row>
    <row r="96" spans="1:9" ht="120.75" customHeight="1" x14ac:dyDescent="0.35">
      <c r="A96" s="36"/>
      <c r="B96" s="457"/>
      <c r="C96" s="457"/>
      <c r="D96" s="457"/>
      <c r="E96" s="206"/>
      <c r="F96" s="151" t="s">
        <v>72</v>
      </c>
      <c r="G96" s="357"/>
      <c r="H96" s="64">
        <f>E96</f>
        <v>0</v>
      </c>
      <c r="I96" s="159" t="s">
        <v>200</v>
      </c>
    </row>
  </sheetData>
  <sheetProtection algorithmName="SHA-512" hashValue="hiuAi08UAeBNNDvGTnpuNQoJY1D2zibtZ7WcdZ8IK7NloUfntHCFNwFPLfyjovANh4KgKdA6+5m9Nb638NiX9g==" saltValue="yejuGldz62SyQKK7qzjhNA==" spinCount="100000" sheet="1" formatCells="0" selectLockedCells="1"/>
  <mergeCells count="107">
    <mergeCell ref="B95:D96"/>
    <mergeCell ref="G95:G96"/>
    <mergeCell ref="B89:D89"/>
    <mergeCell ref="B90:D90"/>
    <mergeCell ref="B91:D91"/>
    <mergeCell ref="A92:G92"/>
    <mergeCell ref="B93:F93"/>
    <mergeCell ref="B94:D94"/>
    <mergeCell ref="B83:D83"/>
    <mergeCell ref="B84:D84"/>
    <mergeCell ref="B85:D85"/>
    <mergeCell ref="A86:G86"/>
    <mergeCell ref="B87:D87"/>
    <mergeCell ref="B88:D88"/>
    <mergeCell ref="B77:D77"/>
    <mergeCell ref="B78:D78"/>
    <mergeCell ref="A79:G79"/>
    <mergeCell ref="B80:D80"/>
    <mergeCell ref="B81:D81"/>
    <mergeCell ref="A82:G82"/>
    <mergeCell ref="B71:D71"/>
    <mergeCell ref="B72:D72"/>
    <mergeCell ref="A73:G73"/>
    <mergeCell ref="B74:D74"/>
    <mergeCell ref="B75:D75"/>
    <mergeCell ref="B76:D76"/>
    <mergeCell ref="B65:D65"/>
    <mergeCell ref="B66:D66"/>
    <mergeCell ref="B67:D67"/>
    <mergeCell ref="B68:D68"/>
    <mergeCell ref="A69:G69"/>
    <mergeCell ref="B70:F70"/>
    <mergeCell ref="B59:D59"/>
    <mergeCell ref="B60:D60"/>
    <mergeCell ref="B61:D61"/>
    <mergeCell ref="A62:G62"/>
    <mergeCell ref="B63:D63"/>
    <mergeCell ref="B64:D64"/>
    <mergeCell ref="B53:D53"/>
    <mergeCell ref="B54:D54"/>
    <mergeCell ref="B55:D55"/>
    <mergeCell ref="B56:D56"/>
    <mergeCell ref="B57:D57"/>
    <mergeCell ref="A58:G58"/>
    <mergeCell ref="B47:D47"/>
    <mergeCell ref="B48:D48"/>
    <mergeCell ref="B49:D49"/>
    <mergeCell ref="B50:D50"/>
    <mergeCell ref="B51:D51"/>
    <mergeCell ref="A52:G52"/>
    <mergeCell ref="B41:D41"/>
    <mergeCell ref="B42:D42"/>
    <mergeCell ref="B43:D43"/>
    <mergeCell ref="A44:G44"/>
    <mergeCell ref="B45:F45"/>
    <mergeCell ref="B46:D46"/>
    <mergeCell ref="A35:G35"/>
    <mergeCell ref="B36:D36"/>
    <mergeCell ref="B37:D37"/>
    <mergeCell ref="B38:D38"/>
    <mergeCell ref="B39:D39"/>
    <mergeCell ref="A40:G40"/>
    <mergeCell ref="A29:A34"/>
    <mergeCell ref="B29:D29"/>
    <mergeCell ref="B30:D30"/>
    <mergeCell ref="B31:D31"/>
    <mergeCell ref="B32:D32"/>
    <mergeCell ref="B33:D33"/>
    <mergeCell ref="B34:D34"/>
    <mergeCell ref="A25:A28"/>
    <mergeCell ref="B25:D25"/>
    <mergeCell ref="B26:D26"/>
    <mergeCell ref="G26:G28"/>
    <mergeCell ref="H26:H28"/>
    <mergeCell ref="B27:D27"/>
    <mergeCell ref="B28:D28"/>
    <mergeCell ref="G20:G21"/>
    <mergeCell ref="H20:H21"/>
    <mergeCell ref="I20:I21"/>
    <mergeCell ref="A22:G22"/>
    <mergeCell ref="B23:D23"/>
    <mergeCell ref="B24:D24"/>
    <mergeCell ref="F15:F19"/>
    <mergeCell ref="G15:G19"/>
    <mergeCell ref="H15:H19"/>
    <mergeCell ref="I15:I19"/>
    <mergeCell ref="B16:C16"/>
    <mergeCell ref="B19:C19"/>
    <mergeCell ref="B13:D13"/>
    <mergeCell ref="A14:A21"/>
    <mergeCell ref="B14:D14"/>
    <mergeCell ref="B15:C15"/>
    <mergeCell ref="D15:D19"/>
    <mergeCell ref="E15:E19"/>
    <mergeCell ref="B20:D21"/>
    <mergeCell ref="B7:D7"/>
    <mergeCell ref="A8:G8"/>
    <mergeCell ref="B9:D9"/>
    <mergeCell ref="B10:D10"/>
    <mergeCell ref="B11:D11"/>
    <mergeCell ref="A12:G12"/>
    <mergeCell ref="B1:D1"/>
    <mergeCell ref="A2:F2"/>
    <mergeCell ref="B3:F3"/>
    <mergeCell ref="B4:D4"/>
    <mergeCell ref="B5:D5"/>
    <mergeCell ref="B6:D6"/>
  </mergeCells>
  <dataValidations count="8">
    <dataValidation allowBlank="1" showErrorMessage="1" sqref="H96" xr:uid="{C518A11B-4D82-4211-BB9D-6FFB5D7D2338}"/>
    <dataValidation allowBlank="1" showInputMessage="1" showErrorMessage="1" prompt="Please list down short description of your innovation." sqref="I95:I96" xr:uid="{03CA78E3-4E5B-4660-9F4C-7CE3D164E811}"/>
    <dataValidation type="decimal" allowBlank="1" showErrorMessage="1" error="Please enter 0.5 or 1 or 1.5 or 2." prompt="Please Enter 0 or 1 or 1.5 or 2." sqref="H95" xr:uid="{6BFFB7EC-4B43-4F02-AC84-47625B70B4D9}">
      <formula1>0</formula1>
      <formula2>2</formula2>
    </dataValidation>
    <dataValidation type="list" allowBlank="1" showInputMessage="1" showErrorMessage="1" sqref="E6:E7 E81 E89 E48:E51 E61 E78 E65:E66 E57" xr:uid="{5B60A622-CE99-4322-AA1C-D2B01296BA32}">
      <formula1>"Y,N"</formula1>
    </dataValidation>
    <dataValidation type="decimal" allowBlank="1" showInputMessage="1" showErrorMessage="1" sqref="E33:E34 E21 E31 E29" xr:uid="{B37104C1-C893-483A-B0AD-5942FF1BB45C}">
      <formula1>0</formula1>
      <formula2>100</formula2>
    </dataValidation>
    <dataValidation type="list" allowBlank="1" showInputMessage="1" showErrorMessage="1" sqref="E20 E72 E10" xr:uid="{3CFB8998-F64B-47C5-84BE-5D9384C3FB47}">
      <formula1>"A,B"</formula1>
    </dataValidation>
    <dataValidation type="decimal" allowBlank="1" showInputMessage="1" showErrorMessage="1" sqref="E30" xr:uid="{A30DBB00-F39C-4B6C-AB07-3B5CD8A17543}">
      <formula1>-1000</formula1>
      <formula2>1000</formula2>
    </dataValidation>
    <dataValidation type="list" showErrorMessage="1" error="Please enter 0.5 or 1 or 1.5 or 2." prompt="Please Enter 0.5 or 1 or 1.5 or 2." sqref="E95:E96" xr:uid="{79C54B1A-B728-4046-BFCF-992E48D5B364}">
      <formula1>"0, 0.5, 1.0, 1.5, 2.0"</formula1>
    </dataValidation>
  </dataValidations>
  <pageMargins left="0.7" right="0.7" top="0.75" bottom="0.75" header="0.3" footer="0.3"/>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50E4C-85BD-4657-9EBC-B26B9D462399}">
  <dimension ref="A1:G63"/>
  <sheetViews>
    <sheetView zoomScaleNormal="100" workbookViewId="0">
      <selection activeCell="C5" sqref="C5"/>
    </sheetView>
  </sheetViews>
  <sheetFormatPr defaultColWidth="8.7265625" defaultRowHeight="15.5" x14ac:dyDescent="0.35"/>
  <cols>
    <col min="1" max="1" width="8.26953125" style="300" customWidth="1"/>
    <col min="2" max="2" width="73.81640625" style="17" customWidth="1"/>
    <col min="3" max="4" width="10.7265625" style="17" customWidth="1"/>
    <col min="5" max="5" width="19" style="17" customWidth="1"/>
    <col min="6" max="6" width="10.7265625" style="17" customWidth="1"/>
    <col min="7" max="7" width="30.7265625" style="17" customWidth="1"/>
    <col min="8" max="9" width="50.7265625" style="17" customWidth="1"/>
    <col min="10" max="10" width="15.54296875" style="17" customWidth="1"/>
    <col min="11" max="11" width="17.26953125" style="17" customWidth="1"/>
    <col min="12" max="16384" width="8.7265625" style="17"/>
  </cols>
  <sheetData>
    <row r="1" spans="1:7" ht="31" x14ac:dyDescent="0.35">
      <c r="A1" s="2"/>
      <c r="B1" s="3" t="s">
        <v>409</v>
      </c>
      <c r="C1" s="39" t="s">
        <v>64</v>
      </c>
      <c r="D1" s="39" t="s">
        <v>65</v>
      </c>
      <c r="E1" s="43" t="s">
        <v>410</v>
      </c>
      <c r="F1" s="39" t="s">
        <v>101</v>
      </c>
      <c r="G1" s="3" t="s">
        <v>102</v>
      </c>
    </row>
    <row r="2" spans="1:7" ht="21" x14ac:dyDescent="0.35">
      <c r="A2" s="521" t="s">
        <v>32</v>
      </c>
      <c r="B2" s="521"/>
      <c r="C2" s="521"/>
      <c r="D2" s="521"/>
      <c r="E2" s="238">
        <v>15</v>
      </c>
      <c r="F2" s="239">
        <f>MIN(SUM(F3,F20,F34,F60),15)</f>
        <v>0</v>
      </c>
      <c r="G2" s="240" t="s">
        <v>103</v>
      </c>
    </row>
    <row r="3" spans="1:7" x14ac:dyDescent="0.35">
      <c r="A3" s="241" t="s">
        <v>411</v>
      </c>
      <c r="B3" s="514" t="s">
        <v>55</v>
      </c>
      <c r="C3" s="514"/>
      <c r="D3" s="514"/>
      <c r="E3" s="242">
        <v>5</v>
      </c>
      <c r="F3" s="243">
        <f>MIN(SUM(F19,F10), 5)</f>
        <v>0</v>
      </c>
      <c r="G3" s="241"/>
    </row>
    <row r="4" spans="1:7" x14ac:dyDescent="0.35">
      <c r="A4" s="244" t="s">
        <v>412</v>
      </c>
      <c r="B4" s="245" t="s">
        <v>413</v>
      </c>
      <c r="C4" s="245"/>
      <c r="D4" s="246"/>
      <c r="E4" s="247"/>
      <c r="F4" s="248"/>
      <c r="G4" s="247"/>
    </row>
    <row r="5" spans="1:7" ht="31" x14ac:dyDescent="0.35">
      <c r="A5" s="6" t="s">
        <v>70</v>
      </c>
      <c r="B5" s="7" t="s">
        <v>414</v>
      </c>
      <c r="C5" s="10"/>
      <c r="D5" s="40" t="s">
        <v>68</v>
      </c>
      <c r="E5" s="260" t="s">
        <v>111</v>
      </c>
      <c r="F5" s="64">
        <f>IF(C5="Y",1,0)</f>
        <v>0</v>
      </c>
      <c r="G5" s="255"/>
    </row>
    <row r="6" spans="1:7" ht="31" x14ac:dyDescent="0.35">
      <c r="A6" s="422" t="s">
        <v>73</v>
      </c>
      <c r="B6" s="7" t="s">
        <v>415</v>
      </c>
      <c r="C6" s="249"/>
      <c r="D6" s="40"/>
      <c r="E6" s="260"/>
      <c r="F6" s="64"/>
      <c r="G6" s="153"/>
    </row>
    <row r="7" spans="1:7" x14ac:dyDescent="0.35">
      <c r="A7" s="422"/>
      <c r="B7" s="7" t="s">
        <v>416</v>
      </c>
      <c r="C7" s="10"/>
      <c r="D7" s="40" t="s">
        <v>68</v>
      </c>
      <c r="E7" s="260" t="s">
        <v>111</v>
      </c>
      <c r="F7" s="64">
        <f t="shared" ref="F7:F8" si="0">IF(C7="Y",1,0)</f>
        <v>0</v>
      </c>
      <c r="G7" s="153"/>
    </row>
    <row r="8" spans="1:7" ht="31" x14ac:dyDescent="0.35">
      <c r="A8" s="422"/>
      <c r="B8" s="7" t="s">
        <v>417</v>
      </c>
      <c r="C8" s="10"/>
      <c r="D8" s="40" t="s">
        <v>68</v>
      </c>
      <c r="E8" s="260" t="s">
        <v>111</v>
      </c>
      <c r="F8" s="64">
        <f t="shared" si="0"/>
        <v>0</v>
      </c>
      <c r="G8" s="153"/>
    </row>
    <row r="9" spans="1:7" ht="46.5" x14ac:dyDescent="0.35">
      <c r="A9" s="6" t="s">
        <v>77</v>
      </c>
      <c r="B9" s="7" t="s">
        <v>418</v>
      </c>
      <c r="C9" s="10"/>
      <c r="D9" s="40" t="s">
        <v>68</v>
      </c>
      <c r="E9" s="260" t="s">
        <v>111</v>
      </c>
      <c r="F9" s="64">
        <f>IF(C9="Y",1,0)</f>
        <v>0</v>
      </c>
      <c r="G9" s="153"/>
    </row>
    <row r="10" spans="1:7" x14ac:dyDescent="0.35">
      <c r="A10" s="250"/>
      <c r="B10" s="513" t="s">
        <v>419</v>
      </c>
      <c r="C10" s="513"/>
      <c r="D10" s="513"/>
      <c r="E10" s="513"/>
      <c r="F10" s="251">
        <f>SUM(F5:F9)</f>
        <v>0</v>
      </c>
      <c r="G10" s="252"/>
    </row>
    <row r="11" spans="1:7" x14ac:dyDescent="0.35">
      <c r="A11" s="244" t="s">
        <v>420</v>
      </c>
      <c r="B11" s="245" t="s">
        <v>421</v>
      </c>
      <c r="C11" s="245"/>
      <c r="D11" s="246"/>
      <c r="E11" s="247"/>
      <c r="F11" s="248"/>
      <c r="G11" s="247"/>
    </row>
    <row r="12" spans="1:7" ht="31" x14ac:dyDescent="0.35">
      <c r="A12" s="373" t="s">
        <v>70</v>
      </c>
      <c r="B12" s="7" t="s">
        <v>422</v>
      </c>
      <c r="C12" s="249"/>
      <c r="D12" s="40"/>
      <c r="E12" s="260"/>
      <c r="F12" s="64"/>
      <c r="G12" s="153"/>
    </row>
    <row r="13" spans="1:7" ht="31" x14ac:dyDescent="0.35">
      <c r="A13" s="374"/>
      <c r="B13" s="9" t="s">
        <v>423</v>
      </c>
      <c r="C13" s="10"/>
      <c r="D13" s="40" t="s">
        <v>68</v>
      </c>
      <c r="E13" s="253" t="s">
        <v>159</v>
      </c>
      <c r="F13" s="64">
        <f>IF(C13="Y",0.5,0)</f>
        <v>0</v>
      </c>
      <c r="G13" s="153"/>
    </row>
    <row r="14" spans="1:7" ht="31" x14ac:dyDescent="0.35">
      <c r="A14" s="520"/>
      <c r="B14" s="7" t="s">
        <v>424</v>
      </c>
      <c r="C14" s="10"/>
      <c r="D14" s="40" t="s">
        <v>68</v>
      </c>
      <c r="E14" s="253" t="s">
        <v>159</v>
      </c>
      <c r="F14" s="64">
        <f>IF(C14="Y",0.5,0)</f>
        <v>0</v>
      </c>
      <c r="G14" s="153"/>
    </row>
    <row r="15" spans="1:7" x14ac:dyDescent="0.35">
      <c r="A15" s="373" t="s">
        <v>73</v>
      </c>
      <c r="B15" s="74" t="s">
        <v>425</v>
      </c>
      <c r="C15" s="249"/>
      <c r="D15" s="40"/>
      <c r="E15" s="260"/>
      <c r="F15" s="64"/>
      <c r="G15" s="153"/>
    </row>
    <row r="16" spans="1:7" ht="46.5" x14ac:dyDescent="0.35">
      <c r="A16" s="374"/>
      <c r="B16" s="7" t="s">
        <v>426</v>
      </c>
      <c r="C16" s="10"/>
      <c r="D16" s="40" t="s">
        <v>68</v>
      </c>
      <c r="E16" s="253" t="s">
        <v>159</v>
      </c>
      <c r="F16" s="64">
        <f t="shared" ref="F16:F18" si="1">IF(C16="Y",0.5,0)</f>
        <v>0</v>
      </c>
      <c r="G16" s="153"/>
    </row>
    <row r="17" spans="1:7" x14ac:dyDescent="0.35">
      <c r="A17" s="520"/>
      <c r="B17" s="7" t="s">
        <v>533</v>
      </c>
      <c r="C17" s="10"/>
      <c r="D17" s="40" t="s">
        <v>68</v>
      </c>
      <c r="E17" s="253" t="s">
        <v>159</v>
      </c>
      <c r="F17" s="64">
        <f t="shared" si="1"/>
        <v>0</v>
      </c>
      <c r="G17" s="153"/>
    </row>
    <row r="18" spans="1:7" ht="61" customHeight="1" x14ac:dyDescent="0.35">
      <c r="A18" s="263" t="s">
        <v>77</v>
      </c>
      <c r="B18" s="7" t="s">
        <v>427</v>
      </c>
      <c r="C18" s="10"/>
      <c r="D18" s="40" t="s">
        <v>68</v>
      </c>
      <c r="E18" s="260" t="s">
        <v>159</v>
      </c>
      <c r="F18" s="64">
        <f t="shared" si="1"/>
        <v>0</v>
      </c>
      <c r="G18" s="153"/>
    </row>
    <row r="19" spans="1:7" x14ac:dyDescent="0.35">
      <c r="A19" s="250"/>
      <c r="B19" s="513" t="s">
        <v>428</v>
      </c>
      <c r="C19" s="513"/>
      <c r="D19" s="513"/>
      <c r="E19" s="513"/>
      <c r="F19" s="251">
        <f>SUM(F13:F18)</f>
        <v>0</v>
      </c>
      <c r="G19" s="252"/>
    </row>
    <row r="20" spans="1:7" x14ac:dyDescent="0.35">
      <c r="A20" s="241" t="s">
        <v>429</v>
      </c>
      <c r="B20" s="514" t="s">
        <v>57</v>
      </c>
      <c r="C20" s="514"/>
      <c r="D20" s="514"/>
      <c r="E20" s="242">
        <v>5</v>
      </c>
      <c r="F20" s="243">
        <f>MIN(SUM(F25,F30, F33),5)</f>
        <v>0</v>
      </c>
      <c r="G20" s="241"/>
    </row>
    <row r="21" spans="1:7" x14ac:dyDescent="0.35">
      <c r="A21" s="244" t="s">
        <v>430</v>
      </c>
      <c r="B21" s="245" t="s">
        <v>431</v>
      </c>
      <c r="C21" s="245"/>
      <c r="D21" s="246"/>
      <c r="E21" s="247"/>
      <c r="F21" s="248"/>
      <c r="G21" s="247"/>
    </row>
    <row r="22" spans="1:7" ht="46.5" x14ac:dyDescent="0.35">
      <c r="A22" s="263" t="s">
        <v>70</v>
      </c>
      <c r="B22" s="7" t="s">
        <v>432</v>
      </c>
      <c r="C22" s="10"/>
      <c r="D22" s="40" t="s">
        <v>68</v>
      </c>
      <c r="E22" s="260" t="s">
        <v>111</v>
      </c>
      <c r="F22" s="64">
        <f>IF(C22="Y",1,0)</f>
        <v>0</v>
      </c>
      <c r="G22" s="153"/>
    </row>
    <row r="23" spans="1:7" ht="62" x14ac:dyDescent="0.35">
      <c r="A23" s="263" t="s">
        <v>73</v>
      </c>
      <c r="B23" s="7" t="s">
        <v>433</v>
      </c>
      <c r="C23" s="10"/>
      <c r="D23" s="40" t="s">
        <v>68</v>
      </c>
      <c r="E23" s="260" t="s">
        <v>111</v>
      </c>
      <c r="F23" s="64">
        <f>IF(C23="Y",1,0)</f>
        <v>0</v>
      </c>
      <c r="G23" s="153"/>
    </row>
    <row r="24" spans="1:7" ht="31" x14ac:dyDescent="0.35">
      <c r="A24" s="263" t="s">
        <v>77</v>
      </c>
      <c r="B24" s="7" t="s">
        <v>434</v>
      </c>
      <c r="C24" s="10"/>
      <c r="D24" s="40" t="s">
        <v>68</v>
      </c>
      <c r="E24" s="260" t="s">
        <v>111</v>
      </c>
      <c r="F24" s="64">
        <f>IF(C24="Y",1,0)</f>
        <v>0</v>
      </c>
      <c r="G24" s="153"/>
    </row>
    <row r="25" spans="1:7" x14ac:dyDescent="0.35">
      <c r="A25" s="250"/>
      <c r="B25" s="513" t="s">
        <v>435</v>
      </c>
      <c r="C25" s="513"/>
      <c r="D25" s="513"/>
      <c r="E25" s="513"/>
      <c r="F25" s="251">
        <f>SUM(F22:F24)</f>
        <v>0</v>
      </c>
      <c r="G25" s="252"/>
    </row>
    <row r="26" spans="1:7" x14ac:dyDescent="0.35">
      <c r="A26" s="244" t="s">
        <v>436</v>
      </c>
      <c r="B26" s="245" t="s">
        <v>437</v>
      </c>
      <c r="C26" s="245"/>
      <c r="D26" s="246"/>
      <c r="E26" s="247"/>
      <c r="F26" s="248"/>
      <c r="G26" s="247"/>
    </row>
    <row r="27" spans="1:7" ht="62" x14ac:dyDescent="0.35">
      <c r="A27" s="263" t="s">
        <v>70</v>
      </c>
      <c r="B27" s="322" t="s">
        <v>438</v>
      </c>
      <c r="C27" s="324" t="s">
        <v>118</v>
      </c>
      <c r="D27" s="40" t="s">
        <v>118</v>
      </c>
      <c r="E27" s="11" t="s">
        <v>118</v>
      </c>
      <c r="F27" s="40" t="s">
        <v>118</v>
      </c>
      <c r="G27" s="153"/>
    </row>
    <row r="28" spans="1:7" ht="31" x14ac:dyDescent="0.35">
      <c r="A28" s="263" t="s">
        <v>73</v>
      </c>
      <c r="B28" s="322" t="s">
        <v>439</v>
      </c>
      <c r="C28" s="324" t="s">
        <v>118</v>
      </c>
      <c r="D28" s="40" t="s">
        <v>118</v>
      </c>
      <c r="E28" s="11" t="s">
        <v>118</v>
      </c>
      <c r="F28" s="40" t="s">
        <v>118</v>
      </c>
      <c r="G28" s="154"/>
    </row>
    <row r="29" spans="1:7" ht="31" x14ac:dyDescent="0.35">
      <c r="A29" s="263" t="s">
        <v>77</v>
      </c>
      <c r="B29" s="322" t="s">
        <v>440</v>
      </c>
      <c r="C29" s="324" t="s">
        <v>118</v>
      </c>
      <c r="D29" s="40" t="s">
        <v>118</v>
      </c>
      <c r="E29" s="11" t="s">
        <v>118</v>
      </c>
      <c r="F29" s="40" t="s">
        <v>118</v>
      </c>
      <c r="G29" s="154"/>
    </row>
    <row r="30" spans="1:7" x14ac:dyDescent="0.35">
      <c r="A30" s="250"/>
      <c r="B30" s="513" t="s">
        <v>441</v>
      </c>
      <c r="C30" s="513"/>
      <c r="D30" s="513"/>
      <c r="E30" s="513"/>
      <c r="F30" s="251">
        <f>SUM(F27:F29)</f>
        <v>0</v>
      </c>
      <c r="G30" s="252"/>
    </row>
    <row r="31" spans="1:7" x14ac:dyDescent="0.35">
      <c r="A31" s="244" t="s">
        <v>442</v>
      </c>
      <c r="B31" s="245" t="s">
        <v>443</v>
      </c>
      <c r="C31" s="245"/>
      <c r="D31" s="246"/>
      <c r="E31" s="247"/>
      <c r="F31" s="248"/>
      <c r="G31" s="247"/>
    </row>
    <row r="32" spans="1:7" ht="108.5" x14ac:dyDescent="0.35">
      <c r="A32" s="263" t="s">
        <v>70</v>
      </c>
      <c r="B32" s="322" t="s">
        <v>444</v>
      </c>
      <c r="C32" s="10"/>
      <c r="D32" s="40" t="s">
        <v>68</v>
      </c>
      <c r="E32" s="79" t="s">
        <v>129</v>
      </c>
      <c r="F32" s="64">
        <f>IF(C32="Y",2,0)</f>
        <v>0</v>
      </c>
      <c r="G32" s="153"/>
    </row>
    <row r="33" spans="1:7" x14ac:dyDescent="0.35">
      <c r="A33" s="250"/>
      <c r="B33" s="513" t="s">
        <v>445</v>
      </c>
      <c r="C33" s="513"/>
      <c r="D33" s="513"/>
      <c r="E33" s="513"/>
      <c r="F33" s="251">
        <f>SUM(F32:F32)</f>
        <v>0</v>
      </c>
      <c r="G33" s="252"/>
    </row>
    <row r="34" spans="1:7" x14ac:dyDescent="0.35">
      <c r="A34" s="241" t="s">
        <v>446</v>
      </c>
      <c r="B34" s="514" t="s">
        <v>59</v>
      </c>
      <c r="C34" s="514"/>
      <c r="D34" s="514"/>
      <c r="E34" s="242">
        <v>5</v>
      </c>
      <c r="F34" s="243">
        <f>MIN(SUM(F40,F45,F48, F51, F59),5)</f>
        <v>0</v>
      </c>
      <c r="G34" s="241"/>
    </row>
    <row r="35" spans="1:7" x14ac:dyDescent="0.35">
      <c r="A35" s="244" t="s">
        <v>447</v>
      </c>
      <c r="B35" s="245" t="s">
        <v>448</v>
      </c>
      <c r="C35" s="245"/>
      <c r="D35" s="246"/>
      <c r="E35" s="247"/>
      <c r="F35" s="248"/>
      <c r="G35" s="247"/>
    </row>
    <row r="36" spans="1:7" ht="46.5" x14ac:dyDescent="0.35">
      <c r="A36" s="263" t="s">
        <v>70</v>
      </c>
      <c r="B36" s="7" t="s">
        <v>449</v>
      </c>
      <c r="C36" s="324" t="s">
        <v>118</v>
      </c>
      <c r="D36" s="40" t="s">
        <v>118</v>
      </c>
      <c r="E36" s="11" t="s">
        <v>118</v>
      </c>
      <c r="F36" s="40" t="s">
        <v>118</v>
      </c>
      <c r="G36" s="153"/>
    </row>
    <row r="37" spans="1:7" ht="46.5" x14ac:dyDescent="0.35">
      <c r="A37" s="263" t="s">
        <v>73</v>
      </c>
      <c r="B37" s="277" t="s">
        <v>450</v>
      </c>
      <c r="C37" s="324" t="s">
        <v>118</v>
      </c>
      <c r="D37" s="40" t="s">
        <v>118</v>
      </c>
      <c r="E37" s="11" t="s">
        <v>118</v>
      </c>
      <c r="F37" s="40" t="s">
        <v>118</v>
      </c>
      <c r="G37" s="153"/>
    </row>
    <row r="38" spans="1:7" ht="62" x14ac:dyDescent="0.35">
      <c r="A38" s="263" t="s">
        <v>77</v>
      </c>
      <c r="B38" s="277" t="s">
        <v>451</v>
      </c>
      <c r="C38" s="324" t="s">
        <v>118</v>
      </c>
      <c r="D38" s="40" t="s">
        <v>118</v>
      </c>
      <c r="E38" s="11" t="s">
        <v>118</v>
      </c>
      <c r="F38" s="40" t="s">
        <v>118</v>
      </c>
      <c r="G38" s="153"/>
    </row>
    <row r="39" spans="1:7" ht="46.5" x14ac:dyDescent="0.35">
      <c r="A39" s="263" t="s">
        <v>80</v>
      </c>
      <c r="B39" s="277" t="s">
        <v>452</v>
      </c>
      <c r="C39" s="324" t="s">
        <v>118</v>
      </c>
      <c r="D39" s="40" t="s">
        <v>118</v>
      </c>
      <c r="E39" s="11" t="s">
        <v>118</v>
      </c>
      <c r="F39" s="40" t="s">
        <v>118</v>
      </c>
      <c r="G39" s="153"/>
    </row>
    <row r="40" spans="1:7" x14ac:dyDescent="0.35">
      <c r="A40" s="250"/>
      <c r="B40" s="513" t="s">
        <v>453</v>
      </c>
      <c r="C40" s="513"/>
      <c r="D40" s="513"/>
      <c r="E40" s="513"/>
      <c r="F40" s="251">
        <f>SUM(F36:F39)</f>
        <v>0</v>
      </c>
      <c r="G40" s="252"/>
    </row>
    <row r="41" spans="1:7" x14ac:dyDescent="0.35">
      <c r="A41" s="244" t="s">
        <v>454</v>
      </c>
      <c r="B41" s="245" t="s">
        <v>455</v>
      </c>
      <c r="C41" s="245"/>
      <c r="D41" s="246"/>
      <c r="E41" s="247"/>
      <c r="F41" s="248"/>
      <c r="G41" s="247"/>
    </row>
    <row r="42" spans="1:7" x14ac:dyDescent="0.35">
      <c r="A42" s="8"/>
      <c r="B42" s="9" t="s">
        <v>456</v>
      </c>
      <c r="C42" s="249"/>
      <c r="D42" s="40"/>
      <c r="E42" s="260"/>
      <c r="F42" s="64"/>
      <c r="G42" s="153"/>
    </row>
    <row r="43" spans="1:7" ht="31" x14ac:dyDescent="0.35">
      <c r="A43" s="263" t="s">
        <v>70</v>
      </c>
      <c r="B43" s="92" t="s">
        <v>457</v>
      </c>
      <c r="C43" s="324" t="s">
        <v>118</v>
      </c>
      <c r="D43" s="40" t="s">
        <v>118</v>
      </c>
      <c r="E43" s="11" t="s">
        <v>118</v>
      </c>
      <c r="F43" s="40" t="s">
        <v>118</v>
      </c>
      <c r="G43" s="153"/>
    </row>
    <row r="44" spans="1:7" x14ac:dyDescent="0.35">
      <c r="A44" s="263" t="s">
        <v>73</v>
      </c>
      <c r="B44" s="92" t="s">
        <v>458</v>
      </c>
      <c r="C44" s="324" t="s">
        <v>118</v>
      </c>
      <c r="D44" s="40" t="s">
        <v>118</v>
      </c>
      <c r="E44" s="11" t="s">
        <v>118</v>
      </c>
      <c r="F44" s="40" t="s">
        <v>118</v>
      </c>
      <c r="G44" s="153"/>
    </row>
    <row r="45" spans="1:7" ht="15.65" customHeight="1" x14ac:dyDescent="0.35">
      <c r="A45" s="250"/>
      <c r="B45" s="513" t="s">
        <v>459</v>
      </c>
      <c r="C45" s="513"/>
      <c r="D45" s="513"/>
      <c r="E45" s="513"/>
      <c r="F45" s="251">
        <f>SUM(F42:F44)</f>
        <v>0</v>
      </c>
      <c r="G45" s="252"/>
    </row>
    <row r="46" spans="1:7" ht="31" x14ac:dyDescent="0.35">
      <c r="A46" s="244" t="s">
        <v>460</v>
      </c>
      <c r="B46" s="245" t="s">
        <v>461</v>
      </c>
      <c r="C46" s="245"/>
      <c r="D46" s="246"/>
      <c r="E46" s="247"/>
      <c r="F46" s="248"/>
      <c r="G46" s="247"/>
    </row>
    <row r="47" spans="1:7" ht="31" x14ac:dyDescent="0.35">
      <c r="A47" s="323"/>
      <c r="B47" s="92" t="s">
        <v>462</v>
      </c>
      <c r="C47" s="324" t="s">
        <v>118</v>
      </c>
      <c r="D47" s="40" t="s">
        <v>118</v>
      </c>
      <c r="E47" s="11" t="s">
        <v>118</v>
      </c>
      <c r="F47" s="40" t="s">
        <v>118</v>
      </c>
      <c r="G47" s="153"/>
    </row>
    <row r="48" spans="1:7" ht="15.65" customHeight="1" x14ac:dyDescent="0.35">
      <c r="A48" s="250"/>
      <c r="B48" s="513" t="s">
        <v>463</v>
      </c>
      <c r="C48" s="513"/>
      <c r="D48" s="513"/>
      <c r="E48" s="513"/>
      <c r="F48" s="251">
        <f>SUM(F47:F47)</f>
        <v>0</v>
      </c>
      <c r="G48" s="252"/>
    </row>
    <row r="49" spans="1:7" x14ac:dyDescent="0.35">
      <c r="A49" s="244" t="s">
        <v>464</v>
      </c>
      <c r="B49" s="245" t="s">
        <v>465</v>
      </c>
      <c r="C49" s="245"/>
      <c r="D49" s="246"/>
      <c r="E49" s="247"/>
      <c r="F49" s="248"/>
      <c r="G49" s="247"/>
    </row>
    <row r="50" spans="1:7" ht="46.5" x14ac:dyDescent="0.35">
      <c r="A50" s="323"/>
      <c r="B50" s="92" t="s">
        <v>466</v>
      </c>
      <c r="C50" s="324" t="s">
        <v>118</v>
      </c>
      <c r="D50" s="40" t="s">
        <v>118</v>
      </c>
      <c r="E50" s="11" t="s">
        <v>118</v>
      </c>
      <c r="F50" s="40" t="s">
        <v>118</v>
      </c>
      <c r="G50" s="153"/>
    </row>
    <row r="51" spans="1:7" ht="15.65" customHeight="1" x14ac:dyDescent="0.35">
      <c r="A51" s="250"/>
      <c r="B51" s="513" t="s">
        <v>467</v>
      </c>
      <c r="C51" s="513"/>
      <c r="D51" s="513"/>
      <c r="E51" s="513"/>
      <c r="F51" s="251">
        <f>SUM(F50:F50)</f>
        <v>0</v>
      </c>
      <c r="G51" s="252"/>
    </row>
    <row r="52" spans="1:7" x14ac:dyDescent="0.35">
      <c r="A52" s="244" t="s">
        <v>468</v>
      </c>
      <c r="B52" s="245" t="s">
        <v>469</v>
      </c>
      <c r="C52" s="245"/>
      <c r="D52" s="246"/>
      <c r="E52" s="247"/>
      <c r="F52" s="248"/>
      <c r="G52" s="247"/>
    </row>
    <row r="53" spans="1:7" ht="93" x14ac:dyDescent="0.35">
      <c r="A53" s="263" t="s">
        <v>70</v>
      </c>
      <c r="B53" s="92" t="s">
        <v>470</v>
      </c>
      <c r="C53" s="10"/>
      <c r="D53" s="40" t="s">
        <v>68</v>
      </c>
      <c r="E53" s="260" t="s">
        <v>159</v>
      </c>
      <c r="F53" s="64">
        <f>IF(C53="Y",0.5,0)</f>
        <v>0</v>
      </c>
      <c r="G53" s="153"/>
    </row>
    <row r="54" spans="1:7" ht="46.5" x14ac:dyDescent="0.35">
      <c r="A54" s="263" t="s">
        <v>73</v>
      </c>
      <c r="B54" s="92" t="s">
        <v>471</v>
      </c>
      <c r="C54" s="10"/>
      <c r="D54" s="40" t="s">
        <v>68</v>
      </c>
      <c r="E54" s="260" t="s">
        <v>159</v>
      </c>
      <c r="F54" s="64">
        <f t="shared" ref="F54" si="2">IF(C54="Y",0.5,0)</f>
        <v>0</v>
      </c>
      <c r="G54" s="153"/>
    </row>
    <row r="55" spans="1:7" ht="46.5" x14ac:dyDescent="0.35">
      <c r="A55" s="373" t="s">
        <v>77</v>
      </c>
      <c r="B55" s="92" t="s">
        <v>472</v>
      </c>
      <c r="C55" s="10"/>
      <c r="D55" s="40" t="s">
        <v>68</v>
      </c>
      <c r="E55" s="260" t="s">
        <v>159</v>
      </c>
      <c r="F55" s="64">
        <f t="shared" ref="F55:F58" si="3">IF(C55="Y",0.5,0)</f>
        <v>0</v>
      </c>
      <c r="G55" s="153"/>
    </row>
    <row r="56" spans="1:7" x14ac:dyDescent="0.35">
      <c r="A56" s="520"/>
      <c r="B56" s="92" t="s">
        <v>473</v>
      </c>
      <c r="C56" s="10"/>
      <c r="D56" s="40" t="s">
        <v>68</v>
      </c>
      <c r="E56" s="260" t="s">
        <v>159</v>
      </c>
      <c r="F56" s="64">
        <f t="shared" si="3"/>
        <v>0</v>
      </c>
      <c r="G56" s="153"/>
    </row>
    <row r="57" spans="1:7" ht="46.5" x14ac:dyDescent="0.35">
      <c r="A57" s="373" t="s">
        <v>80</v>
      </c>
      <c r="B57" s="92" t="s">
        <v>474</v>
      </c>
      <c r="C57" s="10"/>
      <c r="D57" s="40" t="s">
        <v>68</v>
      </c>
      <c r="E57" s="260" t="s">
        <v>159</v>
      </c>
      <c r="F57" s="64">
        <f t="shared" si="3"/>
        <v>0</v>
      </c>
      <c r="G57" s="153"/>
    </row>
    <row r="58" spans="1:7" x14ac:dyDescent="0.35">
      <c r="A58" s="520"/>
      <c r="B58" s="92" t="s">
        <v>475</v>
      </c>
      <c r="C58" s="10"/>
      <c r="D58" s="40" t="s">
        <v>68</v>
      </c>
      <c r="E58" s="260" t="s">
        <v>159</v>
      </c>
      <c r="F58" s="64">
        <f t="shared" si="3"/>
        <v>0</v>
      </c>
      <c r="G58" s="153"/>
    </row>
    <row r="59" spans="1:7" ht="15.65" customHeight="1" x14ac:dyDescent="0.35">
      <c r="A59" s="250"/>
      <c r="B59" s="513" t="s">
        <v>476</v>
      </c>
      <c r="C59" s="513"/>
      <c r="D59" s="513"/>
      <c r="E59" s="513"/>
      <c r="F59" s="251">
        <f>SUM(F53:F58)</f>
        <v>0</v>
      </c>
      <c r="G59" s="252"/>
    </row>
    <row r="60" spans="1:7" x14ac:dyDescent="0.35">
      <c r="A60" s="241"/>
      <c r="B60" s="514" t="s">
        <v>477</v>
      </c>
      <c r="C60" s="514"/>
      <c r="D60" s="514"/>
      <c r="E60" s="242">
        <v>2</v>
      </c>
      <c r="F60" s="243">
        <f>MIN(SUM(F62:F63),2)</f>
        <v>0</v>
      </c>
      <c r="G60" s="241"/>
    </row>
    <row r="61" spans="1:7" ht="62" x14ac:dyDescent="0.35">
      <c r="A61" s="244"/>
      <c r="B61" s="245" t="s">
        <v>478</v>
      </c>
      <c r="C61" s="245"/>
      <c r="D61" s="515" t="s">
        <v>195</v>
      </c>
      <c r="E61" s="516"/>
      <c r="F61" s="517"/>
      <c r="G61" s="254" t="s">
        <v>196</v>
      </c>
    </row>
    <row r="62" spans="1:7" ht="151.5" customHeight="1" x14ac:dyDescent="0.35">
      <c r="A62" s="422"/>
      <c r="B62" s="518" t="s">
        <v>534</v>
      </c>
      <c r="C62" s="10"/>
      <c r="D62" s="40" t="s">
        <v>72</v>
      </c>
      <c r="E62" s="413" t="s">
        <v>479</v>
      </c>
      <c r="F62" s="325">
        <f>C62</f>
        <v>0</v>
      </c>
      <c r="G62" s="236" t="s">
        <v>199</v>
      </c>
    </row>
    <row r="63" spans="1:7" ht="160.5" customHeight="1" x14ac:dyDescent="0.35">
      <c r="A63" s="422"/>
      <c r="B63" s="519"/>
      <c r="C63" s="10"/>
      <c r="D63" s="40" t="s">
        <v>72</v>
      </c>
      <c r="E63" s="415"/>
      <c r="F63" s="325">
        <f>C63</f>
        <v>0</v>
      </c>
      <c r="G63" s="326" t="s">
        <v>480</v>
      </c>
    </row>
  </sheetData>
  <sheetProtection algorithmName="SHA-512" hashValue="hcjxVPk65hPywW/gIyhSLJeUqT9Dbzi1cFLXH8Ff7D7oNI73WFNMB6+0/jF2jkYnhvPhmRmZsLmJcSlyQrq6LA==" saltValue="sOYWYdGLeRFJvh9LUzDgFw==" spinCount="100000" sheet="1" formatCells="0" selectLockedCells="1"/>
  <mergeCells count="24">
    <mergeCell ref="A15:A17"/>
    <mergeCell ref="A2:D2"/>
    <mergeCell ref="B3:D3"/>
    <mergeCell ref="A6:A8"/>
    <mergeCell ref="B10:E10"/>
    <mergeCell ref="A12:A14"/>
    <mergeCell ref="A57:A58"/>
    <mergeCell ref="B19:E19"/>
    <mergeCell ref="B20:D20"/>
    <mergeCell ref="B25:E25"/>
    <mergeCell ref="B30:E30"/>
    <mergeCell ref="B33:E33"/>
    <mergeCell ref="B34:D34"/>
    <mergeCell ref="B40:E40"/>
    <mergeCell ref="B45:E45"/>
    <mergeCell ref="B48:E48"/>
    <mergeCell ref="B51:E51"/>
    <mergeCell ref="A55:A56"/>
    <mergeCell ref="B59:E59"/>
    <mergeCell ref="B60:D60"/>
    <mergeCell ref="D61:F61"/>
    <mergeCell ref="A62:A63"/>
    <mergeCell ref="B62:B63"/>
    <mergeCell ref="E62:E63"/>
  </mergeCells>
  <dataValidations count="3">
    <dataValidation type="list" allowBlank="1" showInputMessage="1" showErrorMessage="1" sqref="C32 C22:C24 C13:C14 C5 C7:C9 C16:C18 C53:C58" xr:uid="{66CE38E0-03EB-48F3-A1F6-8D0C6EAAA298}">
      <formula1>"Y,N"</formula1>
    </dataValidation>
    <dataValidation type="decimal" allowBlank="1" showErrorMessage="1" error="Please enter 0.5 or 1 or 1.5 or 2." prompt="Please Enter 0 or 1 or 1.5 or 2." sqref="F62:F63" xr:uid="{E8C207BF-EA56-43B9-B7BD-87D7E0531373}">
      <formula1>0</formula1>
      <formula2>2</formula2>
    </dataValidation>
    <dataValidation allowBlank="1" showInputMessage="1" showErrorMessage="1" prompt="Please list down short description of your innovation." sqref="G62:G63" xr:uid="{7E201C4F-E2E5-42C2-8F77-7C9F090C5C51}"/>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4"/>
  <sheetViews>
    <sheetView zoomScaleNormal="100" zoomScaleSheetLayoutView="70" workbookViewId="0">
      <selection activeCell="H5" sqref="H5"/>
    </sheetView>
  </sheetViews>
  <sheetFormatPr defaultRowHeight="15.5" x14ac:dyDescent="0.35"/>
  <cols>
    <col min="1" max="1" width="8.26953125" style="1" customWidth="1"/>
    <col min="2" max="2" width="65.7265625" customWidth="1"/>
    <col min="3" max="4" width="10.453125" customWidth="1"/>
    <col min="5" max="6" width="10.453125" style="13" customWidth="1"/>
    <col min="7" max="7" width="18.26953125" customWidth="1"/>
    <col min="8" max="8" width="45.1796875" style="292" customWidth="1"/>
    <col min="9" max="9" width="50.7265625" style="292" customWidth="1"/>
    <col min="10" max="10" width="17.26953125" hidden="1" customWidth="1"/>
    <col min="11" max="14" width="9.1796875" hidden="1" customWidth="1"/>
  </cols>
  <sheetData>
    <row r="1" spans="1:14" ht="16" thickBot="1" x14ac:dyDescent="0.4">
      <c r="H1" s="285"/>
      <c r="I1" s="285"/>
    </row>
    <row r="2" spans="1:14" ht="21" x14ac:dyDescent="0.35">
      <c r="A2" s="536" t="s">
        <v>481</v>
      </c>
      <c r="B2" s="537"/>
      <c r="C2" s="537"/>
      <c r="D2" s="537"/>
      <c r="E2" s="537"/>
      <c r="F2" s="537"/>
      <c r="G2" s="538"/>
      <c r="H2" s="285"/>
      <c r="I2" s="285"/>
    </row>
    <row r="3" spans="1:14" ht="85.5" customHeight="1" x14ac:dyDescent="0.35">
      <c r="A3" s="543"/>
      <c r="B3" s="544"/>
      <c r="C3" s="544"/>
      <c r="D3" s="544"/>
      <c r="E3" s="544"/>
      <c r="F3" s="544"/>
      <c r="G3" s="545"/>
      <c r="H3" s="285"/>
      <c r="I3" s="285"/>
    </row>
    <row r="4" spans="1:14" ht="206.25" customHeight="1" thickBot="1" x14ac:dyDescent="0.4">
      <c r="A4" s="546" t="s">
        <v>482</v>
      </c>
      <c r="B4" s="547"/>
      <c r="C4" s="547"/>
      <c r="D4" s="547"/>
      <c r="E4" s="547"/>
      <c r="F4" s="547"/>
      <c r="G4" s="548"/>
      <c r="H4" s="285"/>
      <c r="I4" s="285"/>
    </row>
    <row r="5" spans="1:14" x14ac:dyDescent="0.35">
      <c r="H5" s="285"/>
      <c r="I5" s="285"/>
    </row>
    <row r="6" spans="1:14" ht="31" customHeight="1" x14ac:dyDescent="0.35">
      <c r="A6" s="2"/>
      <c r="B6" s="3" t="s">
        <v>483</v>
      </c>
      <c r="C6" s="527" t="s">
        <v>100</v>
      </c>
      <c r="D6" s="527"/>
      <c r="E6" s="527" t="s">
        <v>484</v>
      </c>
      <c r="F6" s="527"/>
      <c r="G6" s="39" t="s">
        <v>485</v>
      </c>
      <c r="H6" s="285"/>
      <c r="I6" s="285"/>
      <c r="K6" s="527" t="s">
        <v>484</v>
      </c>
      <c r="L6" s="527"/>
      <c r="M6" s="527" t="s">
        <v>484</v>
      </c>
      <c r="N6" s="527"/>
    </row>
    <row r="7" spans="1:14" ht="18.5" x14ac:dyDescent="0.35">
      <c r="A7" s="549" t="s">
        <v>33</v>
      </c>
      <c r="B7" s="550"/>
      <c r="C7" s="542">
        <f>'[3]Maintainability Score Summary'!$K$23</f>
        <v>71</v>
      </c>
      <c r="D7" s="341"/>
      <c r="E7" s="341"/>
      <c r="F7" s="341"/>
      <c r="G7" s="306"/>
      <c r="H7" s="285"/>
      <c r="I7" s="285"/>
      <c r="K7" s="341"/>
      <c r="L7" s="341"/>
      <c r="M7" s="341"/>
      <c r="N7" s="341"/>
    </row>
    <row r="8" spans="1:14" x14ac:dyDescent="0.35">
      <c r="A8" s="551" t="s">
        <v>486</v>
      </c>
      <c r="B8" s="551"/>
      <c r="C8" s="523">
        <f>'[3]Maintainability Score Summary'!$E$6</f>
        <v>3</v>
      </c>
      <c r="D8" s="524"/>
      <c r="E8" s="523">
        <f>MAX(K8:N8)</f>
        <v>0</v>
      </c>
      <c r="F8" s="524"/>
      <c r="G8" s="305" t="str">
        <f>IF(G9="","",G9)</f>
        <v/>
      </c>
      <c r="H8" s="285"/>
      <c r="I8" s="285"/>
      <c r="K8" s="523">
        <f>'[3]Maintainability Score Summary'!$F$6</f>
        <v>0</v>
      </c>
      <c r="L8" s="524"/>
      <c r="M8" s="523">
        <f>IF(K8=0,'[4]Maintainability Score Summary'!$F$6,0)</f>
        <v>0</v>
      </c>
      <c r="N8" s="524"/>
    </row>
    <row r="9" spans="1:14" x14ac:dyDescent="0.35">
      <c r="A9" s="11">
        <v>0.1</v>
      </c>
      <c r="B9" s="12" t="str">
        <f>'[3]Maintainability Score Summary'!$B$7</f>
        <v>General Project Requirement</v>
      </c>
      <c r="C9" s="541">
        <f>'[3]Maintainability Score Summary'!$E$7</f>
        <v>3</v>
      </c>
      <c r="D9" s="541"/>
      <c r="E9" s="541">
        <f t="shared" ref="E9:E13" si="0">MAX(K9:N9)</f>
        <v>0</v>
      </c>
      <c r="F9" s="541"/>
      <c r="G9" s="313"/>
      <c r="H9" s="285"/>
      <c r="I9" s="285"/>
      <c r="K9" s="522">
        <f>'[3]Maintainability Score Summary'!$F$7</f>
        <v>0</v>
      </c>
      <c r="L9" s="357"/>
      <c r="M9" s="522">
        <f>IF(K9=0,'[4]Maintainability Score Summary'!$F$7,0)</f>
        <v>0</v>
      </c>
      <c r="N9" s="357"/>
    </row>
    <row r="10" spans="1:14" x14ac:dyDescent="0.35">
      <c r="A10" s="551" t="s">
        <v>487</v>
      </c>
      <c r="B10" s="551"/>
      <c r="C10" s="524">
        <f>'[3]Maintainability Score Summary'!$E$8</f>
        <v>11.5</v>
      </c>
      <c r="D10" s="524"/>
      <c r="E10" s="524">
        <f t="shared" si="0"/>
        <v>0</v>
      </c>
      <c r="F10" s="524"/>
      <c r="G10" s="305" t="str">
        <f>IF(OR(G11="",G13="",G17=""),"",SUM(G17,G13,G11))</f>
        <v/>
      </c>
      <c r="H10" s="285"/>
      <c r="I10" s="285"/>
      <c r="K10" s="523">
        <f>'[3]Maintainability Score Summary'!$F$8</f>
        <v>0</v>
      </c>
      <c r="L10" s="524"/>
      <c r="M10" s="523">
        <f>IF(K10=0,'[4]Maintainability Score Summary'!$F$8,0)</f>
        <v>0</v>
      </c>
      <c r="N10" s="524"/>
    </row>
    <row r="11" spans="1:14" x14ac:dyDescent="0.35">
      <c r="A11" s="539" t="str">
        <f>'[3]Maintainability Score Summary'!$A$9</f>
        <v>Part A - General Façade</v>
      </c>
      <c r="B11" s="540"/>
      <c r="C11" s="526">
        <f>'[3]Maintainability Score Summary'!$E$9</f>
        <v>0.5</v>
      </c>
      <c r="D11" s="526"/>
      <c r="E11" s="526">
        <f t="shared" si="0"/>
        <v>0</v>
      </c>
      <c r="F11" s="526"/>
      <c r="G11" s="307" t="str">
        <f>IF(G12="","",G12)</f>
        <v/>
      </c>
      <c r="H11" s="285"/>
      <c r="I11" s="285"/>
      <c r="K11" s="525">
        <f>'[3]Maintainability Score Summary'!$F$9</f>
        <v>0</v>
      </c>
      <c r="L11" s="526"/>
      <c r="M11" s="525">
        <f>IF(K11=0,'[4]Maintainability Score Summary'!$F$9,0)</f>
        <v>0</v>
      </c>
      <c r="N11" s="526"/>
    </row>
    <row r="12" spans="1:14" x14ac:dyDescent="0.35">
      <c r="A12" s="6">
        <v>1.1000000000000001</v>
      </c>
      <c r="B12" s="7" t="str">
        <f>'[3]Maintainability Score Summary'!$B$10</f>
        <v>General Façade</v>
      </c>
      <c r="C12" s="357">
        <f>'[3]Maintainability Score Summary'!$E$10</f>
        <v>0.5</v>
      </c>
      <c r="D12" s="357"/>
      <c r="E12" s="357">
        <f t="shared" si="0"/>
        <v>0</v>
      </c>
      <c r="F12" s="357"/>
      <c r="G12" s="313"/>
      <c r="H12" s="285"/>
      <c r="I12" s="285"/>
      <c r="K12" s="522">
        <f>'[3]Maintainability Score Summary'!$F$10</f>
        <v>0</v>
      </c>
      <c r="L12" s="357"/>
      <c r="M12" s="522">
        <f>IF(K12=0,'[4]Maintainability Score Summary'!$F$10,0)</f>
        <v>0</v>
      </c>
      <c r="N12" s="357"/>
    </row>
    <row r="13" spans="1:14" x14ac:dyDescent="0.35">
      <c r="A13" s="539" t="str">
        <f>'[3]Maintainability Score Summary'!$A$11</f>
        <v>Part B - Façade System</v>
      </c>
      <c r="B13" s="540"/>
      <c r="C13" s="526">
        <f>'[3]Maintainability Score Summary'!$E$11</f>
        <v>4</v>
      </c>
      <c r="D13" s="526"/>
      <c r="E13" s="526">
        <f t="shared" si="0"/>
        <v>0</v>
      </c>
      <c r="F13" s="526"/>
      <c r="G13" s="307" t="str">
        <f>IF(G14="","",G14)</f>
        <v/>
      </c>
      <c r="H13" s="285"/>
      <c r="I13" s="285"/>
      <c r="K13" s="525">
        <f>'[3]Maintainability Score Summary'!$F$11</f>
        <v>0</v>
      </c>
      <c r="L13" s="526"/>
      <c r="M13" s="525">
        <f>IF(K13=0,'[4]Maintainability Score Summary'!$F$11,0)</f>
        <v>0</v>
      </c>
      <c r="N13" s="526"/>
    </row>
    <row r="14" spans="1:14" x14ac:dyDescent="0.35">
      <c r="A14" s="6">
        <v>1.2</v>
      </c>
      <c r="B14" s="7" t="str">
        <f>'[3]Maintainability Score Summary'!$B$12</f>
        <v>Cladding system: Tile/ Stone/ Metal/ Others</v>
      </c>
      <c r="C14" s="357">
        <f>'[3]Maintainability Score Summary'!$E$12</f>
        <v>4</v>
      </c>
      <c r="D14" s="357"/>
      <c r="E14" s="357">
        <f>MAX(K14:N14)</f>
        <v>0</v>
      </c>
      <c r="F14" s="357"/>
      <c r="G14" s="535"/>
      <c r="H14" s="285"/>
      <c r="I14" s="285"/>
      <c r="K14" s="528">
        <f>'[3]Maintainability Score Summary'!$F$12</f>
        <v>0</v>
      </c>
      <c r="L14" s="528"/>
      <c r="M14" s="528">
        <f>IF(K14=0,'[4]Maintainability Score Summary'!$F$12,0)</f>
        <v>0</v>
      </c>
      <c r="N14" s="528"/>
    </row>
    <row r="15" spans="1:14" x14ac:dyDescent="0.35">
      <c r="A15" s="6">
        <v>1.3</v>
      </c>
      <c r="B15" s="7" t="str">
        <f>'[3]Maintainability Score Summary'!$B$13</f>
        <v>Curtain Wall: Glazing/ Others</v>
      </c>
      <c r="C15" s="357"/>
      <c r="D15" s="357"/>
      <c r="E15" s="357"/>
      <c r="F15" s="357"/>
      <c r="G15" s="535"/>
      <c r="H15" s="285"/>
      <c r="I15" s="285"/>
      <c r="K15" s="528"/>
      <c r="L15" s="528"/>
      <c r="M15" s="528"/>
      <c r="N15" s="528"/>
    </row>
    <row r="16" spans="1:14" x14ac:dyDescent="0.35">
      <c r="A16" s="6">
        <v>1.4</v>
      </c>
      <c r="B16" s="7" t="str">
        <f>'[3]Maintainability Score Summary'!$B$14</f>
        <v>Masonry and Lightweight Concrete Panels</v>
      </c>
      <c r="C16" s="357"/>
      <c r="D16" s="357"/>
      <c r="E16" s="357"/>
      <c r="F16" s="357"/>
      <c r="G16" s="535"/>
      <c r="H16" s="285"/>
      <c r="I16" s="285"/>
      <c r="K16" s="528"/>
      <c r="L16" s="528"/>
      <c r="M16" s="528"/>
      <c r="N16" s="528"/>
    </row>
    <row r="17" spans="1:14" x14ac:dyDescent="0.35">
      <c r="A17" s="539" t="str">
        <f>'[3]Maintainability Score Summary'!$A$15</f>
        <v>Part C - Others</v>
      </c>
      <c r="B17" s="540"/>
      <c r="C17" s="526">
        <f>'[3]Maintainability Score Summary'!$E$15</f>
        <v>7</v>
      </c>
      <c r="D17" s="526"/>
      <c r="E17" s="526">
        <f t="shared" ref="E17:E55" si="1">MAX(K17:N17)</f>
        <v>0</v>
      </c>
      <c r="F17" s="526"/>
      <c r="G17" s="307" t="str">
        <f>IF(OR(G18="",G19="",G20=""),"",SUM(G18:G20))</f>
        <v/>
      </c>
      <c r="H17" s="285"/>
      <c r="I17" s="285"/>
      <c r="K17" s="525">
        <f>'[3]Maintainability Score Summary'!$F$15</f>
        <v>0</v>
      </c>
      <c r="L17" s="526"/>
      <c r="M17" s="525">
        <f>IF(K17=0,'[4]Maintainability Score Summary'!$F$15,0)</f>
        <v>0</v>
      </c>
      <c r="N17" s="526"/>
    </row>
    <row r="18" spans="1:14" x14ac:dyDescent="0.35">
      <c r="A18" s="6" t="s">
        <v>488</v>
      </c>
      <c r="B18" s="7" t="str">
        <f>'[3]Maintainability Score Summary'!$B$16</f>
        <v>Façade Features/ considerations</v>
      </c>
      <c r="C18" s="357">
        <f>'[3]Maintainability Score Summary'!$E$16</f>
        <v>3</v>
      </c>
      <c r="D18" s="357"/>
      <c r="E18" s="357">
        <f t="shared" si="1"/>
        <v>0</v>
      </c>
      <c r="F18" s="357"/>
      <c r="G18" s="313"/>
      <c r="H18" s="285"/>
      <c r="I18" s="285"/>
      <c r="K18" s="522">
        <f>'[3]Maintainability Score Summary'!$F$16</f>
        <v>0</v>
      </c>
      <c r="L18" s="357"/>
      <c r="M18" s="522">
        <f>IF(K18=0,'[4]Maintainability Score Summary'!$F$16,0)</f>
        <v>0</v>
      </c>
      <c r="N18" s="357"/>
    </row>
    <row r="19" spans="1:14" x14ac:dyDescent="0.35">
      <c r="A19" s="6" t="s">
        <v>489</v>
      </c>
      <c r="B19" s="7" t="str">
        <f>'[3]Maintainability Score Summary'!$B$17</f>
        <v>Entrance lobby/ Integrated drop-off points at blocks</v>
      </c>
      <c r="C19" s="357">
        <f>'[3]Maintainability Score Summary'!$E$17</f>
        <v>2</v>
      </c>
      <c r="D19" s="357"/>
      <c r="E19" s="357">
        <f t="shared" si="1"/>
        <v>0</v>
      </c>
      <c r="F19" s="357"/>
      <c r="G19" s="313"/>
      <c r="H19" s="285"/>
      <c r="I19" s="285"/>
      <c r="K19" s="522">
        <f>'[3]Maintainability Score Summary'!$F$17</f>
        <v>0</v>
      </c>
      <c r="L19" s="357"/>
      <c r="M19" s="522">
        <f>IF(K19=0,'[4]Maintainability Score Summary'!$F$17,0)</f>
        <v>0</v>
      </c>
      <c r="N19" s="357"/>
    </row>
    <row r="20" spans="1:14" x14ac:dyDescent="0.35">
      <c r="A20" s="6">
        <v>1.7</v>
      </c>
      <c r="B20" s="7" t="str">
        <f>'[3]Maintainability Score Summary'!$B$18</f>
        <v>Exposed corridors and link bridges</v>
      </c>
      <c r="C20" s="357">
        <f>'[3]Maintainability Score Summary'!$E$18</f>
        <v>2</v>
      </c>
      <c r="D20" s="357"/>
      <c r="E20" s="357">
        <f t="shared" si="1"/>
        <v>0</v>
      </c>
      <c r="F20" s="357"/>
      <c r="G20" s="313"/>
      <c r="H20" s="285"/>
      <c r="I20" s="285"/>
      <c r="K20" s="522">
        <f>'[3]Maintainability Score Summary'!$F$18</f>
        <v>0</v>
      </c>
      <c r="L20" s="357"/>
      <c r="M20" s="522">
        <f>IF(K20=0,'[4]Maintainability Score Summary'!$F$18,0)</f>
        <v>0</v>
      </c>
      <c r="N20" s="357"/>
    </row>
    <row r="21" spans="1:14" x14ac:dyDescent="0.35">
      <c r="A21" s="6">
        <v>1.8</v>
      </c>
      <c r="B21" s="7" t="str">
        <f>'[3]Maintainability Score Summary'!$B$19</f>
        <v>Roof</v>
      </c>
      <c r="C21" s="357" t="str">
        <f>'[3]Maintainability Score Summary'!$E$19</f>
        <v>Pre-req</v>
      </c>
      <c r="D21" s="357"/>
      <c r="E21" s="357">
        <f t="shared" si="1"/>
        <v>0</v>
      </c>
      <c r="F21" s="357"/>
      <c r="G21" s="314"/>
      <c r="H21" s="285"/>
      <c r="I21" s="285"/>
      <c r="K21" s="357"/>
      <c r="L21" s="357"/>
      <c r="M21" s="357"/>
      <c r="N21" s="357"/>
    </row>
    <row r="22" spans="1:14" x14ac:dyDescent="0.35">
      <c r="A22" s="551" t="s">
        <v>490</v>
      </c>
      <c r="B22" s="551" t="s">
        <v>57</v>
      </c>
      <c r="C22" s="524">
        <f>'[3]Maintainability Score Summary'!$E$20</f>
        <v>18.5</v>
      </c>
      <c r="D22" s="524"/>
      <c r="E22" s="524">
        <f t="shared" si="1"/>
        <v>0</v>
      </c>
      <c r="F22" s="524"/>
      <c r="G22" s="305" t="str">
        <f>IF(OR(G23="",G24="",G25="",G26="",G27=""),"",SUM(G23:G27))</f>
        <v/>
      </c>
      <c r="H22" s="285"/>
      <c r="I22" s="285"/>
      <c r="K22" s="523">
        <f>'[3]Maintainability Score Summary'!$F$20</f>
        <v>0</v>
      </c>
      <c r="L22" s="524"/>
      <c r="M22" s="523">
        <f>IF(K22=0,'[4]Maintainability Score Summary'!$F$20,0)</f>
        <v>0</v>
      </c>
      <c r="N22" s="524"/>
    </row>
    <row r="23" spans="1:14" x14ac:dyDescent="0.35">
      <c r="A23" s="6">
        <v>2.1</v>
      </c>
      <c r="B23" s="9" t="str">
        <f>'[3]Maintainability Score Summary'!$B$21</f>
        <v>Floors</v>
      </c>
      <c r="C23" s="357">
        <f>'[3]Maintainability Score Summary'!$E$21</f>
        <v>2.5</v>
      </c>
      <c r="D23" s="357"/>
      <c r="E23" s="357">
        <f t="shared" si="1"/>
        <v>0</v>
      </c>
      <c r="F23" s="357"/>
      <c r="G23" s="313"/>
      <c r="H23" s="285"/>
      <c r="I23" s="285"/>
      <c r="K23" s="522">
        <f>'[3]Maintainability Score Summary'!$F$21</f>
        <v>0</v>
      </c>
      <c r="L23" s="357"/>
      <c r="M23" s="522">
        <f>IF(K23=0,'[4]Maintainability Score Summary'!$F$21,0)</f>
        <v>0</v>
      </c>
      <c r="N23" s="357"/>
    </row>
    <row r="24" spans="1:14" x14ac:dyDescent="0.35">
      <c r="A24" s="6">
        <v>2.2000000000000002</v>
      </c>
      <c r="B24" s="9" t="str">
        <f>'[3]Maintainability Score Summary'!$B$22</f>
        <v>Walls and Partitions</v>
      </c>
      <c r="C24" s="357">
        <f>'[3]Maintainability Score Summary'!$E$22</f>
        <v>1</v>
      </c>
      <c r="D24" s="357"/>
      <c r="E24" s="357">
        <f t="shared" si="1"/>
        <v>0</v>
      </c>
      <c r="F24" s="357"/>
      <c r="G24" s="313"/>
      <c r="H24" s="285"/>
      <c r="I24" s="285"/>
      <c r="K24" s="522">
        <f>'[3]Maintainability Score Summary'!$F$22</f>
        <v>0</v>
      </c>
      <c r="L24" s="357"/>
      <c r="M24" s="522">
        <f>IF(K24=0,'[4]Maintainability Score Summary'!$F$22,0)</f>
        <v>0</v>
      </c>
      <c r="N24" s="357"/>
    </row>
    <row r="25" spans="1:14" x14ac:dyDescent="0.35">
      <c r="A25" s="6">
        <v>2.2999999999999998</v>
      </c>
      <c r="B25" s="9" t="str">
        <f>'[3]Maintainability Score Summary'!$B$23</f>
        <v>Ceiling</v>
      </c>
      <c r="C25" s="357">
        <f>'[3]Maintainability Score Summary'!$E$23</f>
        <v>4</v>
      </c>
      <c r="D25" s="357"/>
      <c r="E25" s="357">
        <f t="shared" si="1"/>
        <v>0</v>
      </c>
      <c r="F25" s="357"/>
      <c r="G25" s="313"/>
      <c r="H25" s="285"/>
      <c r="I25" s="285"/>
      <c r="K25" s="522">
        <f>'[3]Maintainability Score Summary'!$F$23</f>
        <v>0</v>
      </c>
      <c r="L25" s="357"/>
      <c r="M25" s="522">
        <f>IF(K25=0,'[4]Maintainability Score Summary'!$F$23,0)</f>
        <v>0</v>
      </c>
      <c r="N25" s="357"/>
    </row>
    <row r="26" spans="1:14" x14ac:dyDescent="0.35">
      <c r="A26" s="6">
        <v>2.4</v>
      </c>
      <c r="B26" s="9" t="str">
        <f>'[3]Maintainability Score Summary'!$B$24</f>
        <v xml:space="preserve">Common toilets </v>
      </c>
      <c r="C26" s="357">
        <f>'[3]Maintainability Score Summary'!$E$24</f>
        <v>7</v>
      </c>
      <c r="D26" s="357"/>
      <c r="E26" s="357">
        <f t="shared" si="1"/>
        <v>0</v>
      </c>
      <c r="F26" s="357"/>
      <c r="G26" s="313"/>
      <c r="H26" s="285"/>
      <c r="I26" s="285"/>
      <c r="K26" s="522">
        <f>'[3]Maintainability Score Summary'!$F$24</f>
        <v>0</v>
      </c>
      <c r="L26" s="357"/>
      <c r="M26" s="522">
        <f>IF(K26=0,'[4]Maintainability Score Summary'!$F$24,0)</f>
        <v>0</v>
      </c>
      <c r="N26" s="357"/>
    </row>
    <row r="27" spans="1:14" x14ac:dyDescent="0.35">
      <c r="A27" s="6">
        <v>2.5</v>
      </c>
      <c r="B27" s="9" t="str">
        <f>'[3]Maintainability Score Summary'!$B$25</f>
        <v>Basements</v>
      </c>
      <c r="C27" s="357">
        <f>'[3]Maintainability Score Summary'!$E$25</f>
        <v>4</v>
      </c>
      <c r="D27" s="357"/>
      <c r="E27" s="357">
        <f t="shared" si="1"/>
        <v>0</v>
      </c>
      <c r="F27" s="357"/>
      <c r="G27" s="313"/>
      <c r="H27" s="285"/>
      <c r="I27" s="285"/>
      <c r="K27" s="522">
        <f>'[3]Maintainability Score Summary'!$F$25</f>
        <v>0</v>
      </c>
      <c r="L27" s="357"/>
      <c r="M27" s="522">
        <f>IF(K27=0,'[4]Maintainability Score Summary'!$F$25,0)</f>
        <v>0</v>
      </c>
      <c r="N27" s="357"/>
    </row>
    <row r="28" spans="1:14" x14ac:dyDescent="0.35">
      <c r="A28" s="551" t="s">
        <v>491</v>
      </c>
      <c r="B28" s="551"/>
      <c r="C28" s="524">
        <f>'[3]Maintainability Score Summary'!$E$26</f>
        <v>10</v>
      </c>
      <c r="D28" s="524"/>
      <c r="E28" s="524">
        <f t="shared" si="1"/>
        <v>0</v>
      </c>
      <c r="F28" s="524"/>
      <c r="G28" s="305" t="str">
        <f>IF(OR(G29="",G31="",G33="",G34="",G35=""),"",SUM(G29,G31,G33:G35))</f>
        <v/>
      </c>
      <c r="H28" s="285"/>
      <c r="I28" s="285"/>
      <c r="K28" s="523">
        <f>'[3]Maintainability Score Summary'!$F$26</f>
        <v>0</v>
      </c>
      <c r="L28" s="524"/>
      <c r="M28" s="523">
        <f>IF(K28=0,'[4]Maintainability Score Summary'!$F$26,0)</f>
        <v>0</v>
      </c>
      <c r="N28" s="524"/>
    </row>
    <row r="29" spans="1:14" ht="31" x14ac:dyDescent="0.35">
      <c r="A29" s="6">
        <v>3.1</v>
      </c>
      <c r="B29" s="9" t="str">
        <f>'[3]Maintainability Score Summary'!$B$27</f>
        <v xml:space="preserve">Air Conditioning System-Direct Expansion System 
(DX Units) </v>
      </c>
      <c r="C29" s="357">
        <f>'[3]Maintainability Score Summary'!$E$27</f>
        <v>2</v>
      </c>
      <c r="D29" s="357"/>
      <c r="E29" s="357">
        <f t="shared" si="1"/>
        <v>0</v>
      </c>
      <c r="F29" s="357"/>
      <c r="G29" s="313"/>
      <c r="H29" s="285"/>
      <c r="I29" s="285"/>
      <c r="K29" s="522">
        <f>'[3]Maintainability Score Summary'!$F$27</f>
        <v>0</v>
      </c>
      <c r="L29" s="357"/>
      <c r="M29" s="522">
        <f>IF(K29=0,'[4]Maintainability Score Summary'!$F$27,0)</f>
        <v>0</v>
      </c>
      <c r="N29" s="357"/>
    </row>
    <row r="30" spans="1:14" x14ac:dyDescent="0.35">
      <c r="A30" s="6">
        <v>3.2</v>
      </c>
      <c r="B30" s="9" t="str">
        <f>'[3]Maintainability Score Summary'!$B$28</f>
        <v>Air Conditioning System - Variable Refrigerant Flow (VRF) System</v>
      </c>
      <c r="C30" s="357" t="str">
        <f>'[3]Maintainability Score Summary'!$E$28</f>
        <v>Pre-req</v>
      </c>
      <c r="D30" s="357"/>
      <c r="E30" s="357">
        <f t="shared" si="1"/>
        <v>0</v>
      </c>
      <c r="F30" s="357"/>
      <c r="G30" s="314"/>
      <c r="H30" s="285"/>
      <c r="I30" s="285"/>
      <c r="K30" s="357"/>
      <c r="L30" s="357"/>
      <c r="M30" s="357"/>
      <c r="N30" s="357"/>
    </row>
    <row r="31" spans="1:14" x14ac:dyDescent="0.35">
      <c r="A31" s="6">
        <v>3.3</v>
      </c>
      <c r="B31" s="9" t="str">
        <f>'[3]Maintainability Score Summary'!$B$29</f>
        <v>Air Distribution System</v>
      </c>
      <c r="C31" s="357">
        <f>'[3]Maintainability Score Summary'!$E$29</f>
        <v>1</v>
      </c>
      <c r="D31" s="357"/>
      <c r="E31" s="357">
        <f t="shared" si="1"/>
        <v>0</v>
      </c>
      <c r="F31" s="357"/>
      <c r="G31" s="313"/>
      <c r="H31" s="285"/>
      <c r="I31" s="285"/>
      <c r="K31" s="522">
        <f>'[3]Maintainability Score Summary'!$F$29</f>
        <v>0</v>
      </c>
      <c r="L31" s="357"/>
      <c r="M31" s="522">
        <f>IF(K31=0,'[4]Maintainability Score Summary'!$F$29,0)</f>
        <v>0</v>
      </c>
      <c r="N31" s="357"/>
    </row>
    <row r="32" spans="1:14" x14ac:dyDescent="0.35">
      <c r="A32" s="6">
        <v>3.4</v>
      </c>
      <c r="B32" s="9" t="str">
        <f>'[3]Maintainability Score Summary'!$B$30</f>
        <v>Domestic Water Supply</v>
      </c>
      <c r="C32" s="357" t="str">
        <f>'[3]Maintainability Score Summary'!$E$30</f>
        <v>Pre-req</v>
      </c>
      <c r="D32" s="357"/>
      <c r="E32" s="357">
        <f t="shared" si="1"/>
        <v>0</v>
      </c>
      <c r="F32" s="357"/>
      <c r="G32" s="314"/>
      <c r="H32" s="285"/>
      <c r="I32" s="285"/>
      <c r="K32" s="357"/>
      <c r="L32" s="357"/>
      <c r="M32" s="357"/>
      <c r="N32" s="357"/>
    </row>
    <row r="33" spans="1:14" x14ac:dyDescent="0.35">
      <c r="A33" s="6">
        <v>3.5</v>
      </c>
      <c r="B33" s="9" t="str">
        <f>'[3]Maintainability Score Summary'!$B$31</f>
        <v>Sanitary System</v>
      </c>
      <c r="C33" s="357">
        <f>'[3]Maintainability Score Summary'!$E$31</f>
        <v>2</v>
      </c>
      <c r="D33" s="357"/>
      <c r="E33" s="357">
        <f t="shared" si="1"/>
        <v>0</v>
      </c>
      <c r="F33" s="357"/>
      <c r="G33" s="313"/>
      <c r="H33" s="285"/>
      <c r="I33" s="285"/>
      <c r="K33" s="522">
        <f>'[3]Maintainability Score Summary'!$F$31</f>
        <v>0</v>
      </c>
      <c r="L33" s="357"/>
      <c r="M33" s="522">
        <f>IF(K33=0,'[4]Maintainability Score Summary'!$F$31,0)</f>
        <v>0</v>
      </c>
      <c r="N33" s="357"/>
    </row>
    <row r="34" spans="1:14" x14ac:dyDescent="0.35">
      <c r="A34" s="6">
        <v>3.6</v>
      </c>
      <c r="B34" s="9" t="str">
        <f>'[3]Maintainability Score Summary'!$B$32</f>
        <v xml:space="preserve">Fire Protection System </v>
      </c>
      <c r="C34" s="357">
        <f>'[3]Maintainability Score Summary'!$E$32</f>
        <v>2</v>
      </c>
      <c r="D34" s="357"/>
      <c r="E34" s="357">
        <f t="shared" si="1"/>
        <v>0</v>
      </c>
      <c r="F34" s="357"/>
      <c r="G34" s="313"/>
      <c r="H34" s="285"/>
      <c r="I34" s="285"/>
      <c r="K34" s="522">
        <f>'[3]Maintainability Score Summary'!$F$32</f>
        <v>0</v>
      </c>
      <c r="L34" s="357"/>
      <c r="M34" s="522">
        <f>IF(K34=0,'[4]Maintainability Score Summary'!$F$32,0)</f>
        <v>0</v>
      </c>
      <c r="N34" s="357"/>
    </row>
    <row r="35" spans="1:14" x14ac:dyDescent="0.35">
      <c r="A35" s="6">
        <v>3.7</v>
      </c>
      <c r="B35" s="9" t="str">
        <f>'[3]Maintainability Score Summary'!$B$33</f>
        <v>Swimming Pool System</v>
      </c>
      <c r="C35" s="357">
        <f>'[3]Maintainability Score Summary'!$E$33</f>
        <v>3</v>
      </c>
      <c r="D35" s="357"/>
      <c r="E35" s="357">
        <f t="shared" si="1"/>
        <v>0</v>
      </c>
      <c r="F35" s="357"/>
      <c r="G35" s="313"/>
      <c r="H35" s="285"/>
      <c r="I35" s="285"/>
      <c r="K35" s="522">
        <f>'[3]Maintainability Score Summary'!$F$33</f>
        <v>0</v>
      </c>
      <c r="L35" s="357"/>
      <c r="M35" s="522">
        <f>IF(K35=0,'[4]Maintainability Score Summary'!$F$33,0)</f>
        <v>0</v>
      </c>
      <c r="N35" s="357"/>
    </row>
    <row r="36" spans="1:14" x14ac:dyDescent="0.35">
      <c r="A36" s="551" t="s">
        <v>492</v>
      </c>
      <c r="B36" s="551" t="s">
        <v>469</v>
      </c>
      <c r="C36" s="524">
        <f>'[3]Maintainability Score Summary'!$E$35</f>
        <v>10.5</v>
      </c>
      <c r="D36" s="524"/>
      <c r="E36" s="524">
        <f t="shared" si="1"/>
        <v>0</v>
      </c>
      <c r="F36" s="524"/>
      <c r="G36" s="305" t="str">
        <f>IF(OR(G37="",G38="",G39="",G40="",G41=""),"",SUM(G37:G41))</f>
        <v/>
      </c>
      <c r="H36" s="285"/>
      <c r="I36" s="285"/>
      <c r="K36" s="523">
        <f>'[3]Maintainability Score Summary'!$F$35</f>
        <v>0</v>
      </c>
      <c r="L36" s="524"/>
      <c r="M36" s="523">
        <f>IF(K36=0,'[4]Maintainability Score Summary'!$F$35,0)</f>
        <v>0</v>
      </c>
      <c r="N36" s="524"/>
    </row>
    <row r="37" spans="1:14" x14ac:dyDescent="0.35">
      <c r="A37" s="6">
        <v>4.0999999999999996</v>
      </c>
      <c r="B37" s="9" t="str">
        <f>'[3]Maintainability Score Summary'!$B$36</f>
        <v>Lighting System</v>
      </c>
      <c r="C37" s="357">
        <f>'[3]Maintainability Score Summary'!$E$36</f>
        <v>1.5</v>
      </c>
      <c r="D37" s="357"/>
      <c r="E37" s="357">
        <f t="shared" si="1"/>
        <v>0</v>
      </c>
      <c r="F37" s="357"/>
      <c r="G37" s="313"/>
      <c r="H37" s="285"/>
      <c r="I37" s="285"/>
      <c r="K37" s="522">
        <f>'[3]Maintainability Score Summary'!$F$36</f>
        <v>0</v>
      </c>
      <c r="L37" s="357"/>
      <c r="M37" s="522">
        <f>IF(K37=0,'[4]Maintainability Score Summary'!$F$36,0)</f>
        <v>0</v>
      </c>
      <c r="N37" s="357"/>
    </row>
    <row r="38" spans="1:14" x14ac:dyDescent="0.35">
      <c r="A38" s="6">
        <v>4.2</v>
      </c>
      <c r="B38" s="9" t="str">
        <f>'[3]Maintainability Score Summary'!$B$37</f>
        <v>Power Distribution System</v>
      </c>
      <c r="C38" s="357">
        <f>'[3]Maintainability Score Summary'!$E$37</f>
        <v>3</v>
      </c>
      <c r="D38" s="357"/>
      <c r="E38" s="357">
        <f t="shared" si="1"/>
        <v>0</v>
      </c>
      <c r="F38" s="357"/>
      <c r="G38" s="313"/>
      <c r="H38" s="285"/>
      <c r="I38" s="285"/>
      <c r="K38" s="522">
        <f>'[3]Maintainability Score Summary'!$F$37</f>
        <v>0</v>
      </c>
      <c r="L38" s="357"/>
      <c r="M38" s="522">
        <f>IF(K38=0,'[4]Maintainability Score Summary'!$F$37,0)</f>
        <v>0</v>
      </c>
      <c r="N38" s="357"/>
    </row>
    <row r="39" spans="1:14" x14ac:dyDescent="0.35">
      <c r="A39" s="6">
        <v>4.3</v>
      </c>
      <c r="B39" s="9" t="str">
        <f>'[3]Maintainability Score Summary'!$B$38</f>
        <v>Extra Low Voltage System</v>
      </c>
      <c r="C39" s="357">
        <f>'[3]Maintainability Score Summary'!$E$38</f>
        <v>3</v>
      </c>
      <c r="D39" s="357"/>
      <c r="E39" s="357">
        <f t="shared" si="1"/>
        <v>0</v>
      </c>
      <c r="F39" s="357"/>
      <c r="G39" s="313"/>
      <c r="H39" s="285"/>
      <c r="I39" s="285"/>
      <c r="K39" s="522">
        <f>'[3]Maintainability Score Summary'!$F$38</f>
        <v>0</v>
      </c>
      <c r="L39" s="357"/>
      <c r="M39" s="522">
        <f>IF(K39=0,'[4]Maintainability Score Summary'!$F$38,0)</f>
        <v>0</v>
      </c>
      <c r="N39" s="357"/>
    </row>
    <row r="40" spans="1:14" x14ac:dyDescent="0.35">
      <c r="A40" s="6">
        <v>4.4000000000000004</v>
      </c>
      <c r="B40" s="9" t="str">
        <f>'[3]Maintainability Score Summary'!$B$39</f>
        <v>Lightning Protection System</v>
      </c>
      <c r="C40" s="357">
        <f>'[3]Maintainability Score Summary'!$E$39</f>
        <v>1</v>
      </c>
      <c r="D40" s="357"/>
      <c r="E40" s="357">
        <f t="shared" si="1"/>
        <v>0</v>
      </c>
      <c r="F40" s="357"/>
      <c r="G40" s="313"/>
      <c r="H40" s="285"/>
      <c r="I40" s="285"/>
      <c r="K40" s="522">
        <f>'[3]Maintainability Score Summary'!$F$39</f>
        <v>0</v>
      </c>
      <c r="L40" s="357"/>
      <c r="M40" s="522">
        <f>IF(K40=0,'[4]Maintainability Score Summary'!$F$39,0)</f>
        <v>0</v>
      </c>
      <c r="N40" s="357"/>
    </row>
    <row r="41" spans="1:14" x14ac:dyDescent="0.35">
      <c r="A41" s="6">
        <v>4.5</v>
      </c>
      <c r="B41" s="9" t="str">
        <f>'[3]Maintainability Score Summary'!$B$40</f>
        <v>Vertical Transportation System</v>
      </c>
      <c r="C41" s="357">
        <f>'[3]Maintainability Score Summary'!$E$40</f>
        <v>2</v>
      </c>
      <c r="D41" s="357"/>
      <c r="E41" s="357">
        <f t="shared" si="1"/>
        <v>0</v>
      </c>
      <c r="F41" s="357"/>
      <c r="G41" s="313"/>
      <c r="H41" s="285"/>
      <c r="I41" s="285"/>
      <c r="K41" s="522">
        <f>'[3]Maintainability Score Summary'!$F$40</f>
        <v>0</v>
      </c>
      <c r="L41" s="357"/>
      <c r="M41" s="522">
        <f>IF(K41=0,'[4]Maintainability Score Summary'!$F$40,0)</f>
        <v>0</v>
      </c>
      <c r="N41" s="357"/>
    </row>
    <row r="42" spans="1:14" x14ac:dyDescent="0.35">
      <c r="A42" s="6">
        <v>4.5999999999999996</v>
      </c>
      <c r="B42" s="9" t="str">
        <f>'[3]Maintainability Score Summary'!$B$41</f>
        <v>Carpark Entry System</v>
      </c>
      <c r="C42" s="357" t="str">
        <f>'[3]Maintainability Score Summary'!$E$41</f>
        <v>Pre-req</v>
      </c>
      <c r="D42" s="357"/>
      <c r="E42" s="357">
        <f t="shared" si="1"/>
        <v>0</v>
      </c>
      <c r="F42" s="357"/>
      <c r="G42" s="314"/>
      <c r="H42" s="285"/>
      <c r="I42" s="285"/>
      <c r="K42" s="357"/>
      <c r="L42" s="357"/>
      <c r="M42" s="357"/>
      <c r="N42" s="357"/>
    </row>
    <row r="43" spans="1:14" x14ac:dyDescent="0.35">
      <c r="A43" s="551" t="s">
        <v>493</v>
      </c>
      <c r="B43" s="551"/>
      <c r="C43" s="524">
        <f>'[3]Maintainability Score Summary'!$L$6</f>
        <v>10.5</v>
      </c>
      <c r="D43" s="524"/>
      <c r="E43" s="524">
        <f t="shared" si="1"/>
        <v>0</v>
      </c>
      <c r="F43" s="524"/>
      <c r="G43" s="305" t="str">
        <f>IF(OR(G44="",G45="",G47="",G48="",G49=""),"",SUM(G44:G45,G47:G49))</f>
        <v/>
      </c>
      <c r="H43" s="285"/>
      <c r="I43" s="285"/>
      <c r="K43" s="523">
        <f>'[3]Maintainability Score Summary'!$M$6</f>
        <v>0</v>
      </c>
      <c r="L43" s="524"/>
      <c r="M43" s="523">
        <f>IF(K43=0,'[4]Maintainability Score Summary'!$M$6,0)</f>
        <v>0</v>
      </c>
      <c r="N43" s="524"/>
    </row>
    <row r="44" spans="1:14" x14ac:dyDescent="0.35">
      <c r="A44" s="6">
        <v>5.0999999999999996</v>
      </c>
      <c r="B44" s="9" t="str">
        <f>'[3]Maintainability Score Summary'!$I$7</f>
        <v>Softscape</v>
      </c>
      <c r="C44" s="357">
        <f>'[3]Maintainability Score Summary'!$L$7</f>
        <v>1</v>
      </c>
      <c r="D44" s="357"/>
      <c r="E44" s="357">
        <f t="shared" si="1"/>
        <v>0</v>
      </c>
      <c r="F44" s="357"/>
      <c r="G44" s="313"/>
      <c r="H44" s="285"/>
      <c r="I44" s="285"/>
      <c r="K44" s="522">
        <f>'[3]Maintainability Score Summary'!$M$7</f>
        <v>0</v>
      </c>
      <c r="L44" s="357"/>
      <c r="M44" s="522">
        <f>IF(K44=0,'[4]Maintainability Score Summary'!$M$7,0)</f>
        <v>0</v>
      </c>
      <c r="N44" s="357"/>
    </row>
    <row r="45" spans="1:14" x14ac:dyDescent="0.35">
      <c r="A45" s="6">
        <v>5.2</v>
      </c>
      <c r="B45" s="9" t="str">
        <f>'[3]Maintainability Score Summary'!$I$8</f>
        <v>Hardscape</v>
      </c>
      <c r="C45" s="357">
        <f>'[3]Maintainability Score Summary'!$L$8</f>
        <v>4</v>
      </c>
      <c r="D45" s="357"/>
      <c r="E45" s="357">
        <f t="shared" si="1"/>
        <v>0</v>
      </c>
      <c r="F45" s="357"/>
      <c r="G45" s="313"/>
      <c r="H45" s="285"/>
      <c r="I45" s="285"/>
      <c r="K45" s="522">
        <f>'[3]Maintainability Score Summary'!$M$8</f>
        <v>0</v>
      </c>
      <c r="L45" s="357"/>
      <c r="M45" s="522">
        <f>IF(K45=0,'[4]Maintainability Score Summary'!$M$8,0)</f>
        <v>0</v>
      </c>
      <c r="N45" s="357"/>
    </row>
    <row r="46" spans="1:14" x14ac:dyDescent="0.35">
      <c r="A46" s="6">
        <v>5.3</v>
      </c>
      <c r="B46" s="9" t="str">
        <f>'[3]Maintainability Score Summary'!$I$9</f>
        <v>Vertical Greenery</v>
      </c>
      <c r="C46" s="357" t="str">
        <f>'[3]Maintainability Score Summary'!$L$9</f>
        <v>Pre-req</v>
      </c>
      <c r="D46" s="357"/>
      <c r="E46" s="357">
        <f t="shared" si="1"/>
        <v>0</v>
      </c>
      <c r="F46" s="357"/>
      <c r="G46" s="314"/>
      <c r="H46" s="285"/>
      <c r="I46" s="285"/>
      <c r="K46" s="357"/>
      <c r="L46" s="357"/>
      <c r="M46" s="357"/>
      <c r="N46" s="357"/>
    </row>
    <row r="47" spans="1:14" x14ac:dyDescent="0.35">
      <c r="A47" s="6">
        <v>5.4</v>
      </c>
      <c r="B47" s="9" t="str">
        <f>'[3]Maintainability Score Summary'!$I$10</f>
        <v>Roof and Sky Terraces</v>
      </c>
      <c r="C47" s="357">
        <f>'[3]Maintainability Score Summary'!$L$10</f>
        <v>1</v>
      </c>
      <c r="D47" s="357"/>
      <c r="E47" s="357">
        <f t="shared" si="1"/>
        <v>0</v>
      </c>
      <c r="F47" s="357"/>
      <c r="G47" s="313"/>
      <c r="H47" s="285"/>
      <c r="I47" s="285"/>
      <c r="K47" s="522">
        <f>'[3]Maintainability Score Summary'!$M$10</f>
        <v>0</v>
      </c>
      <c r="L47" s="357"/>
      <c r="M47" s="522">
        <f>IF(K47=0,'[4]Maintainability Score Summary'!$M$10,0)</f>
        <v>0</v>
      </c>
      <c r="N47" s="357"/>
    </row>
    <row r="48" spans="1:14" x14ac:dyDescent="0.35">
      <c r="A48" s="6">
        <v>5.5</v>
      </c>
      <c r="B48" s="9" t="str">
        <f>'[3]Maintainability Score Summary'!$I$11</f>
        <v>Water Retaining Structures</v>
      </c>
      <c r="C48" s="357">
        <f>'[3]Maintainability Score Summary'!$L$11</f>
        <v>3</v>
      </c>
      <c r="D48" s="357"/>
      <c r="E48" s="357">
        <f t="shared" si="1"/>
        <v>0</v>
      </c>
      <c r="F48" s="357"/>
      <c r="G48" s="313"/>
      <c r="H48" s="285"/>
      <c r="I48" s="285"/>
      <c r="K48" s="522">
        <f>'[3]Maintainability Score Summary'!$M$11</f>
        <v>0</v>
      </c>
      <c r="L48" s="357"/>
      <c r="M48" s="522">
        <f>IF(K48=0,'[4]Maintainability Score Summary'!$M$11,0)</f>
        <v>0</v>
      </c>
      <c r="N48" s="357"/>
    </row>
    <row r="49" spans="1:14" x14ac:dyDescent="0.35">
      <c r="A49" s="6">
        <v>5.6</v>
      </c>
      <c r="B49" s="9" t="str">
        <f>'[3]Maintainability Score Summary'!$I$12</f>
        <v>Standalone Structures</v>
      </c>
      <c r="C49" s="357">
        <f>'[3]Maintainability Score Summary'!$L$12</f>
        <v>1.5</v>
      </c>
      <c r="D49" s="357"/>
      <c r="E49" s="357">
        <f t="shared" si="1"/>
        <v>0</v>
      </c>
      <c r="F49" s="357"/>
      <c r="G49" s="313"/>
      <c r="H49" s="285"/>
      <c r="I49" s="285"/>
      <c r="K49" s="522">
        <f>'[3]Maintainability Score Summary'!$M$12</f>
        <v>0</v>
      </c>
      <c r="L49" s="357"/>
      <c r="M49" s="522">
        <f>IF(K49=0,'[4]Maintainability Score Summary'!$M$12,0)</f>
        <v>0</v>
      </c>
      <c r="N49" s="357"/>
    </row>
    <row r="50" spans="1:14" x14ac:dyDescent="0.35">
      <c r="A50" s="551" t="s">
        <v>494</v>
      </c>
      <c r="B50" s="551"/>
      <c r="C50" s="524">
        <f>'[3]Maintainability Score Summary'!$L$13</f>
        <v>2</v>
      </c>
      <c r="D50" s="524"/>
      <c r="E50" s="524">
        <f t="shared" si="1"/>
        <v>0</v>
      </c>
      <c r="F50" s="524"/>
      <c r="G50" s="305" t="str">
        <f>IF(G51="","",G51)</f>
        <v/>
      </c>
      <c r="H50" s="285"/>
      <c r="I50" s="285"/>
      <c r="K50" s="523">
        <f>'[3]Maintainability Score Summary'!$M$13</f>
        <v>0</v>
      </c>
      <c r="L50" s="524"/>
      <c r="M50" s="523">
        <f>IF(K50=0,'[4]Maintainability Score Summary'!$M$13,0)</f>
        <v>0</v>
      </c>
      <c r="N50" s="524"/>
    </row>
    <row r="51" spans="1:14" x14ac:dyDescent="0.35">
      <c r="A51" s="6">
        <v>6.1</v>
      </c>
      <c r="B51" s="9" t="str">
        <f>'[3]Maintainability Score Summary'!$I$14</f>
        <v>Outdoor games court</v>
      </c>
      <c r="C51" s="357">
        <f>'[3]Maintainability Score Summary'!$L$14</f>
        <v>2</v>
      </c>
      <c r="D51" s="357"/>
      <c r="E51" s="357">
        <f t="shared" si="1"/>
        <v>0</v>
      </c>
      <c r="F51" s="357"/>
      <c r="G51" s="313"/>
      <c r="H51" s="285"/>
      <c r="I51" s="285"/>
      <c r="K51" s="522">
        <f>'[3]Maintainability Score Summary'!$M$14</f>
        <v>0</v>
      </c>
      <c r="L51" s="357"/>
      <c r="M51" s="522">
        <f>IF(K51=0,'[4]Maintainability Score Summary'!$M$14,0)</f>
        <v>0</v>
      </c>
      <c r="N51" s="357"/>
    </row>
    <row r="52" spans="1:14" x14ac:dyDescent="0.35">
      <c r="A52" s="551" t="s">
        <v>495</v>
      </c>
      <c r="B52" s="551" t="s">
        <v>496</v>
      </c>
      <c r="C52" s="524">
        <f>'[3]Maintainability Score Summary'!$L$15</f>
        <v>5</v>
      </c>
      <c r="D52" s="524"/>
      <c r="E52" s="524">
        <f t="shared" si="1"/>
        <v>0</v>
      </c>
      <c r="F52" s="524"/>
      <c r="G52" s="305" t="str">
        <f>IF(G53="","",G53)</f>
        <v/>
      </c>
      <c r="H52" s="285"/>
      <c r="I52" s="285"/>
      <c r="K52" s="523">
        <f>'[3]Maintainability Score Summary'!$M$15</f>
        <v>0</v>
      </c>
      <c r="L52" s="524"/>
      <c r="M52" s="523">
        <f>IF(K52=0,'[4]Maintainability Score Summary'!$M$15,0)</f>
        <v>0</v>
      </c>
      <c r="N52" s="524"/>
    </row>
    <row r="53" spans="1:14" x14ac:dyDescent="0.35">
      <c r="A53" s="6">
        <v>7.1</v>
      </c>
      <c r="B53" s="9" t="str">
        <f>'[3]Maintainability Score Summary'!$I$16</f>
        <v>Innovation features in labour-saving/maintenance-free</v>
      </c>
      <c r="C53" s="357">
        <f>'[3]Maintainability Score Summary'!$L$16</f>
        <v>5</v>
      </c>
      <c r="D53" s="357"/>
      <c r="E53" s="357">
        <f t="shared" si="1"/>
        <v>0</v>
      </c>
      <c r="F53" s="357"/>
      <c r="G53" s="313"/>
      <c r="H53" s="285"/>
      <c r="I53" s="285"/>
      <c r="K53" s="522">
        <f>'[3]Maintainability Score Summary'!$M$16</f>
        <v>0</v>
      </c>
      <c r="L53" s="357"/>
      <c r="M53" s="522">
        <f>IF(K53=0,'[4]Maintainability Score Summary'!$M$16,0)</f>
        <v>0</v>
      </c>
      <c r="N53" s="357"/>
    </row>
    <row r="54" spans="1:14" x14ac:dyDescent="0.35">
      <c r="A54" s="551" t="s">
        <v>497</v>
      </c>
      <c r="B54" s="551"/>
      <c r="C54" s="524">
        <v>4</v>
      </c>
      <c r="D54" s="524"/>
      <c r="E54" s="524">
        <f t="shared" si="1"/>
        <v>0</v>
      </c>
      <c r="F54" s="524"/>
      <c r="G54" s="305" t="str">
        <f>IF(OR(G55="",G56=""),"",SUM(G55:G56))</f>
        <v/>
      </c>
      <c r="H54" s="285"/>
      <c r="I54" s="285"/>
      <c r="K54" s="523">
        <f>SUM(K55:K56)</f>
        <v>0</v>
      </c>
      <c r="L54" s="523"/>
      <c r="M54" s="523">
        <f>IF(K54=0,SUM(M55:M56),0)</f>
        <v>0</v>
      </c>
      <c r="N54" s="523"/>
    </row>
    <row r="55" spans="1:14" x14ac:dyDescent="0.35">
      <c r="A55" s="8"/>
      <c r="B55" s="9" t="str">
        <f>'[3]Maintainability Score Summary'!$H$18</f>
        <v>Section 1 BONUS POINTS</v>
      </c>
      <c r="C55" s="357">
        <f>'[3]Maintainability Score Summary'!$L$18</f>
        <v>3</v>
      </c>
      <c r="D55" s="357"/>
      <c r="E55" s="357">
        <f t="shared" si="1"/>
        <v>0</v>
      </c>
      <c r="F55" s="357"/>
      <c r="G55" s="313"/>
      <c r="H55" s="285"/>
      <c r="I55" s="285"/>
      <c r="K55" s="522">
        <f>'[3]Maintainability Score Summary'!$M$18</f>
        <v>0</v>
      </c>
      <c r="L55" s="357"/>
      <c r="M55" s="522">
        <f>IF(K55=0,'[4]Maintainability Score Summary'!$M$18,0)</f>
        <v>0</v>
      </c>
      <c r="N55" s="357"/>
    </row>
    <row r="56" spans="1:14" x14ac:dyDescent="0.35">
      <c r="A56" s="8"/>
      <c r="B56" s="9" t="str">
        <f>'[3]Maintainability Score Summary'!$H$19</f>
        <v>Section 5 BONUS POINTS</v>
      </c>
      <c r="C56" s="357">
        <f>'[3]Maintainability Score Summary'!$L$19</f>
        <v>1</v>
      </c>
      <c r="D56" s="357"/>
      <c r="E56" s="357">
        <f>MAX(K56:N56)</f>
        <v>0</v>
      </c>
      <c r="F56" s="357"/>
      <c r="G56" s="313"/>
      <c r="H56" s="285"/>
      <c r="I56" s="285"/>
      <c r="K56" s="522">
        <f>'[3]Maintainability Score Summary'!$M$19</f>
        <v>0</v>
      </c>
      <c r="L56" s="357"/>
      <c r="M56" s="522">
        <f>IF(K56=0,'[4]Maintainability Score Summary'!$M$19,0)</f>
        <v>0</v>
      </c>
      <c r="N56" s="357"/>
    </row>
    <row r="57" spans="1:14" s="1" customFormat="1" x14ac:dyDescent="0.35">
      <c r="A57" s="14"/>
      <c r="B57" s="15" t="s">
        <v>498</v>
      </c>
      <c r="C57" s="534" t="str">
        <f>IF(J57=0,IF(OR(G52="",G50="",G43="",G36="",G28="",G22="",G10="",G8=""),"",G52+G50+G43+G36+G28+G22+G10+G8),J57)</f>
        <v/>
      </c>
      <c r="D57" s="534"/>
      <c r="E57" s="534"/>
      <c r="F57" s="534"/>
      <c r="G57" s="534"/>
      <c r="H57" s="285"/>
      <c r="I57" s="311"/>
      <c r="J57" s="316">
        <f>MAX(K57:N57)</f>
        <v>0</v>
      </c>
      <c r="K57" s="531">
        <f>'[3]Maintainability Score Summary'!$K$22</f>
        <v>0</v>
      </c>
      <c r="L57" s="531"/>
      <c r="M57" s="531">
        <f>IF(K57=0,'[4]Maintainability Score Summary'!$K$22,0)</f>
        <v>0</v>
      </c>
      <c r="N57" s="531"/>
    </row>
    <row r="58" spans="1:14" s="1" customFormat="1" x14ac:dyDescent="0.35">
      <c r="A58" s="14"/>
      <c r="B58" s="15" t="s">
        <v>499</v>
      </c>
      <c r="C58" s="534">
        <f>MAX(K58:N58)</f>
        <v>0</v>
      </c>
      <c r="D58" s="530"/>
      <c r="E58" s="530"/>
      <c r="F58" s="530"/>
      <c r="G58" s="313"/>
      <c r="H58" s="285"/>
      <c r="I58" s="311"/>
      <c r="J58" s="308"/>
      <c r="K58" s="532">
        <f>'[3]Maintainability Score Summary'!$K$24</f>
        <v>0</v>
      </c>
      <c r="L58" s="533"/>
      <c r="M58" s="532">
        <f>IF(K58=0,'[4]Maintainability Score Summary'!$K$24,0)</f>
        <v>0</v>
      </c>
      <c r="N58" s="533"/>
    </row>
    <row r="59" spans="1:14" s="1" customFormat="1" x14ac:dyDescent="0.35">
      <c r="A59" s="14"/>
      <c r="B59" s="309" t="s">
        <v>500</v>
      </c>
      <c r="C59" s="534">
        <f>MAX(K59:N59)</f>
        <v>0</v>
      </c>
      <c r="D59" s="530"/>
      <c r="E59" s="530"/>
      <c r="F59" s="530"/>
      <c r="G59" s="310" t="str">
        <f>IF(OR(G55="",G56="",C57=""),"",IF(C57=J60,G55+G56,""))</f>
        <v/>
      </c>
      <c r="H59" s="285"/>
      <c r="I59" s="311"/>
      <c r="J59" s="308"/>
      <c r="K59" s="534">
        <f>'[3]Maintainability Score Summary'!$N$22</f>
        <v>0</v>
      </c>
      <c r="L59" s="534"/>
      <c r="M59" s="534">
        <f>IF(K59=0,'[4]Maintainability Score Summary'!$N$22,0)</f>
        <v>0</v>
      </c>
      <c r="N59" s="534"/>
    </row>
    <row r="60" spans="1:14" s="1" customFormat="1" x14ac:dyDescent="0.35">
      <c r="A60" s="14"/>
      <c r="B60" s="555" t="s">
        <v>501</v>
      </c>
      <c r="C60" s="532" t="s">
        <v>502</v>
      </c>
      <c r="D60" s="533"/>
      <c r="E60" s="557">
        <f>MAX(K60:N60)</f>
        <v>0</v>
      </c>
      <c r="F60" s="558"/>
      <c r="G60" s="310">
        <f>IF(OR(C57="",G54=""),0,IF(C57=J60,(C57/(71-G58))*71,0))</f>
        <v>0</v>
      </c>
      <c r="H60" s="285"/>
      <c r="I60" s="311"/>
      <c r="J60" s="316" t="str">
        <f>IF(OR(G52="",G50="",G43="",G36="",G28="",G22="",G10="",G8=""),"",G52+G50+G43+G36+G28+G22+G10+G8)</f>
        <v/>
      </c>
      <c r="K60" s="529">
        <f>'[3]Maintainability Score Summary'!$K$25</f>
        <v>0</v>
      </c>
      <c r="L60" s="529"/>
      <c r="M60" s="529">
        <f>IF(K60=0,'[4]Maintainability Score Summary'!$K$25,0)</f>
        <v>0</v>
      </c>
      <c r="N60" s="529"/>
    </row>
    <row r="61" spans="1:14" s="1" customFormat="1" x14ac:dyDescent="0.35">
      <c r="A61" s="14"/>
      <c r="B61" s="556"/>
      <c r="C61" s="532" t="s">
        <v>503</v>
      </c>
      <c r="D61" s="533"/>
      <c r="E61" s="557">
        <f>MAX(K61:N61)</f>
        <v>0</v>
      </c>
      <c r="F61" s="558"/>
      <c r="G61" s="310">
        <f>IF(OR(G60="",G59=""),0,G60+G59)</f>
        <v>0</v>
      </c>
      <c r="H61" s="285"/>
      <c r="I61" s="311"/>
      <c r="J61" s="308"/>
      <c r="K61" s="529">
        <f>'[3]Maintainability Score Summary'!$M$25</f>
        <v>0</v>
      </c>
      <c r="L61" s="529"/>
      <c r="M61" s="529">
        <f>IF(K61=0,'[4]Maintainability Score Summary'!$M$25,0)</f>
        <v>0</v>
      </c>
      <c r="N61" s="529"/>
    </row>
    <row r="62" spans="1:14" x14ac:dyDescent="0.35">
      <c r="A62" s="14"/>
      <c r="B62" s="15" t="s">
        <v>504</v>
      </c>
      <c r="C62" s="530">
        <f>MAX(K62:N62)</f>
        <v>0</v>
      </c>
      <c r="D62" s="530"/>
      <c r="E62" s="530"/>
      <c r="F62" s="530"/>
      <c r="G62" s="315"/>
      <c r="H62" s="285"/>
      <c r="I62" s="285"/>
      <c r="J62" s="13">
        <f>IF(AND(C62="",G62=""),"",IF(C62="",G62,C62))</f>
        <v>0</v>
      </c>
      <c r="K62" s="530" t="str">
        <f>'[3]Maintainability Score Summary'!$M$30</f>
        <v/>
      </c>
      <c r="L62" s="530"/>
      <c r="M62" s="530">
        <f>IF(K62=0,'[4]Maintainability Score Summary'!$M$30,0)</f>
        <v>0</v>
      </c>
      <c r="N62" s="530"/>
    </row>
    <row r="63" spans="1:14" x14ac:dyDescent="0.35">
      <c r="A63" s="14"/>
      <c r="B63" s="15" t="s">
        <v>505</v>
      </c>
      <c r="C63" s="532">
        <f>IF(J63=0,IF(G61=0,0,IF(G61/4&gt;15,15,G61/4)),J63)</f>
        <v>0</v>
      </c>
      <c r="D63" s="553"/>
      <c r="E63" s="553"/>
      <c r="F63" s="553"/>
      <c r="G63" s="533"/>
      <c r="H63" s="285"/>
      <c r="I63" s="285"/>
      <c r="J63" s="316">
        <f>MAX(K63:N63)</f>
        <v>0</v>
      </c>
      <c r="K63" s="552">
        <f>'[3]Maintainability Score Summary'!$M$31</f>
        <v>0</v>
      </c>
      <c r="L63" s="552"/>
      <c r="M63" s="552">
        <f>IF(K63=0,'[4]Maintainability Score Summary'!$M$31,0)</f>
        <v>0</v>
      </c>
      <c r="N63" s="552"/>
    </row>
    <row r="64" spans="1:14" x14ac:dyDescent="0.35">
      <c r="A64" s="14"/>
      <c r="B64" s="15" t="s">
        <v>506</v>
      </c>
      <c r="C64" s="554" t="str">
        <f>IF(AND(C63=0,G61=""),"",IF(AND(C63&gt;=10,J62=0),"Yes","No"))</f>
        <v>No</v>
      </c>
      <c r="D64" s="554"/>
      <c r="E64" s="554"/>
      <c r="F64" s="554"/>
      <c r="G64" s="554"/>
      <c r="H64" s="285"/>
      <c r="I64" s="285"/>
    </row>
  </sheetData>
  <sheetProtection algorithmName="SHA-512" hashValue="RxlhaVr5YtrerbibCjjwo+Vdpk5ityZN5NEspkWsiKCNC9d3z7so7i7c/MgXlUYmKyUwSRl9eA+SwqUyVF7FmQ==" saltValue="WEb/SaiNhGF5RY674YhgKg==" spinCount="100000" sheet="1" formatCells="0" selectLockedCells="1"/>
  <mergeCells count="238">
    <mergeCell ref="C58:F58"/>
    <mergeCell ref="C62:F62"/>
    <mergeCell ref="E55:F55"/>
    <mergeCell ref="C55:D55"/>
    <mergeCell ref="E39:F39"/>
    <mergeCell ref="E37:F37"/>
    <mergeCell ref="C38:D38"/>
    <mergeCell ref="E38:F38"/>
    <mergeCell ref="C35:D35"/>
    <mergeCell ref="E35:F35"/>
    <mergeCell ref="C37:D37"/>
    <mergeCell ref="C51:D51"/>
    <mergeCell ref="E51:F51"/>
    <mergeCell ref="C47:D47"/>
    <mergeCell ref="E47:F47"/>
    <mergeCell ref="A52:B52"/>
    <mergeCell ref="C56:D56"/>
    <mergeCell ref="E56:F56"/>
    <mergeCell ref="K63:L63"/>
    <mergeCell ref="M63:N63"/>
    <mergeCell ref="C63:G63"/>
    <mergeCell ref="C64:G64"/>
    <mergeCell ref="B60:B61"/>
    <mergeCell ref="C60:D60"/>
    <mergeCell ref="C61:D61"/>
    <mergeCell ref="E60:F60"/>
    <mergeCell ref="E61:F61"/>
    <mergeCell ref="C54:D54"/>
    <mergeCell ref="E54:F54"/>
    <mergeCell ref="C52:D52"/>
    <mergeCell ref="E52:F52"/>
    <mergeCell ref="C53:D53"/>
    <mergeCell ref="E53:F53"/>
    <mergeCell ref="M53:N53"/>
    <mergeCell ref="M54:N54"/>
    <mergeCell ref="M55:N55"/>
    <mergeCell ref="M56:N56"/>
    <mergeCell ref="M58:N58"/>
    <mergeCell ref="M59:N59"/>
    <mergeCell ref="A3:G3"/>
    <mergeCell ref="A4:G4"/>
    <mergeCell ref="C57:G57"/>
    <mergeCell ref="C59:F59"/>
    <mergeCell ref="A7:B7"/>
    <mergeCell ref="C12:D12"/>
    <mergeCell ref="C21:D21"/>
    <mergeCell ref="A43:B43"/>
    <mergeCell ref="A50:B50"/>
    <mergeCell ref="A54:B54"/>
    <mergeCell ref="E36:F36"/>
    <mergeCell ref="C36:D36"/>
    <mergeCell ref="C28:D28"/>
    <mergeCell ref="A8:B8"/>
    <mergeCell ref="A10:B10"/>
    <mergeCell ref="A22:B22"/>
    <mergeCell ref="A28:B28"/>
    <mergeCell ref="A36:B36"/>
    <mergeCell ref="C30:D30"/>
    <mergeCell ref="C34:D34"/>
    <mergeCell ref="C39:D39"/>
    <mergeCell ref="C29:D29"/>
    <mergeCell ref="E29:F29"/>
    <mergeCell ref="E34:F34"/>
    <mergeCell ref="E26:F26"/>
    <mergeCell ref="E20:F20"/>
    <mergeCell ref="E22:F22"/>
    <mergeCell ref="C23:D23"/>
    <mergeCell ref="C24:D24"/>
    <mergeCell ref="C25:D25"/>
    <mergeCell ref="C18:D18"/>
    <mergeCell ref="C19:D19"/>
    <mergeCell ref="E33:F33"/>
    <mergeCell ref="C6:D6"/>
    <mergeCell ref="C7:D7"/>
    <mergeCell ref="C8:D8"/>
    <mergeCell ref="C9:D9"/>
    <mergeCell ref="C10:D10"/>
    <mergeCell ref="C11:D11"/>
    <mergeCell ref="C13:D13"/>
    <mergeCell ref="C17:D17"/>
    <mergeCell ref="E6:F6"/>
    <mergeCell ref="E7:F7"/>
    <mergeCell ref="E8:F8"/>
    <mergeCell ref="E10:F10"/>
    <mergeCell ref="C14:D16"/>
    <mergeCell ref="E12:F12"/>
    <mergeCell ref="A2:G2"/>
    <mergeCell ref="A11:B11"/>
    <mergeCell ref="A13:B13"/>
    <mergeCell ref="A17:B17"/>
    <mergeCell ref="C48:D48"/>
    <mergeCell ref="E48:F48"/>
    <mergeCell ref="C49:D49"/>
    <mergeCell ref="E49:F49"/>
    <mergeCell ref="C50:D50"/>
    <mergeCell ref="E50:F50"/>
    <mergeCell ref="C44:D44"/>
    <mergeCell ref="E44:F44"/>
    <mergeCell ref="C45:D45"/>
    <mergeCell ref="E45:F45"/>
    <mergeCell ref="C46:D46"/>
    <mergeCell ref="E46:F46"/>
    <mergeCell ref="E28:F28"/>
    <mergeCell ref="E11:F11"/>
    <mergeCell ref="E13:F13"/>
    <mergeCell ref="E17:F17"/>
    <mergeCell ref="E14:F16"/>
    <mergeCell ref="E27:F27"/>
    <mergeCell ref="E9:F9"/>
    <mergeCell ref="E23:F23"/>
    <mergeCell ref="G14:G16"/>
    <mergeCell ref="E43:F43"/>
    <mergeCell ref="C43:D43"/>
    <mergeCell ref="C40:D40"/>
    <mergeCell ref="E40:F40"/>
    <mergeCell ref="C41:D41"/>
    <mergeCell ref="E41:F41"/>
    <mergeCell ref="C42:D42"/>
    <mergeCell ref="E42:F42"/>
    <mergeCell ref="E24:F24"/>
    <mergeCell ref="E25:F25"/>
    <mergeCell ref="E21:F21"/>
    <mergeCell ref="C27:D27"/>
    <mergeCell ref="C22:D22"/>
    <mergeCell ref="C26:D26"/>
    <mergeCell ref="C20:D20"/>
    <mergeCell ref="E30:F30"/>
    <mergeCell ref="C31:D31"/>
    <mergeCell ref="E31:F31"/>
    <mergeCell ref="C32:D32"/>
    <mergeCell ref="E32:F32"/>
    <mergeCell ref="C33:D33"/>
    <mergeCell ref="E18:F18"/>
    <mergeCell ref="E19:F19"/>
    <mergeCell ref="K6:L6"/>
    <mergeCell ref="K7:L7"/>
    <mergeCell ref="K8:L8"/>
    <mergeCell ref="K9:L9"/>
    <mergeCell ref="K10:L10"/>
    <mergeCell ref="K11:L11"/>
    <mergeCell ref="K12:L12"/>
    <mergeCell ref="K13:L13"/>
    <mergeCell ref="K14: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K44:L44"/>
    <mergeCell ref="K45:L45"/>
    <mergeCell ref="K46:L46"/>
    <mergeCell ref="K47:L47"/>
    <mergeCell ref="K48:L48"/>
    <mergeCell ref="K49:L49"/>
    <mergeCell ref="K50:L50"/>
    <mergeCell ref="K51:L51"/>
    <mergeCell ref="K52:L52"/>
    <mergeCell ref="M60:N60"/>
    <mergeCell ref="M61:N61"/>
    <mergeCell ref="M62:N62"/>
    <mergeCell ref="M57:N57"/>
    <mergeCell ref="K53:L53"/>
    <mergeCell ref="K54:L54"/>
    <mergeCell ref="K55:L55"/>
    <mergeCell ref="K56:L56"/>
    <mergeCell ref="K60:L60"/>
    <mergeCell ref="K61:L61"/>
    <mergeCell ref="K62:L62"/>
    <mergeCell ref="K58:L58"/>
    <mergeCell ref="K59:L59"/>
    <mergeCell ref="K57:L57"/>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M52:N52"/>
  </mergeCells>
  <dataValidations count="12">
    <dataValidation type="list" allowBlank="1" showInputMessage="1" showErrorMessage="1" sqref="K46:N46 K32:N32 K21:N21 K42:N42" xr:uid="{00000000-0002-0000-0700-000000000000}">
      <formula1>"Y,N"</formula1>
    </dataValidation>
    <dataValidation type="decimal" allowBlank="1" showInputMessage="1" showErrorMessage="1" sqref="K55:N55 K9:N9 K18:N18 K33:N33 K35:N35 K38:N39 K48:N48 K53:N53" xr:uid="{00000000-0002-0000-0700-000001000000}">
      <formula1>0</formula1>
      <formula2>3</formula2>
    </dataValidation>
    <dataValidation type="decimal" allowBlank="1" showInputMessage="1" showErrorMessage="1" sqref="K37:N37" xr:uid="{00000000-0002-0000-0700-000002000000}">
      <formula1>0</formula1>
      <formula2>1.5</formula2>
    </dataValidation>
    <dataValidation type="decimal" allowBlank="1" showInputMessage="1" showErrorMessage="1" sqref="K25:N25 K27:N27" xr:uid="{00000000-0002-0000-0700-000003000000}">
      <formula1>0</formula1>
      <formula2>4</formula2>
    </dataValidation>
    <dataValidation type="decimal" allowBlank="1" showInputMessage="1" showErrorMessage="1" sqref="K23:N23" xr:uid="{00000000-0002-0000-0700-000004000000}">
      <formula1>0</formula1>
      <formula2>2.5</formula2>
    </dataValidation>
    <dataValidation type="decimal" allowBlank="1" showInputMessage="1" showErrorMessage="1" sqref="K31:N31 K24:N24 K34:N34 K40:N40 K44:N44 K47:N47 K56:N56" xr:uid="{00000000-0002-0000-0700-000005000000}">
      <formula1>0</formula1>
      <formula2>1</formula2>
    </dataValidation>
    <dataValidation type="decimal" allowBlank="1" showInputMessage="1" showErrorMessage="1" sqref="K26:N26" xr:uid="{00000000-0002-0000-0700-000006000000}">
      <formula1>0</formula1>
      <formula2>7</formula2>
    </dataValidation>
    <dataValidation type="decimal" allowBlank="1" showInputMessage="1" showErrorMessage="1" sqref="K19:N20 K29:N29 K41:N41 K49:N49 K51:N51" xr:uid="{00000000-0002-0000-0700-000007000000}">
      <formula1>0</formula1>
      <formula2>2</formula2>
    </dataValidation>
    <dataValidation type="decimal" allowBlank="1" showInputMessage="1" showErrorMessage="1" sqref="K45:N45" xr:uid="{00000000-0002-0000-0700-000008000000}">
      <formula1>0</formula1>
      <formula2>3.5</formula2>
    </dataValidation>
    <dataValidation type="decimal" allowBlank="1" showInputMessage="1" showErrorMessage="1" sqref="K12:N12" xr:uid="{00000000-0002-0000-0700-000009000000}">
      <formula1>0</formula1>
      <formula2>0.5</formula2>
    </dataValidation>
    <dataValidation type="decimal" allowBlank="1" showInputMessage="1" showErrorMessage="1" sqref="K30:N30" xr:uid="{00000000-0002-0000-0700-00000A000000}">
      <formula1>0</formula1>
      <formula2>0</formula2>
    </dataValidation>
    <dataValidation type="decimal" allowBlank="1" showInputMessage="1" showErrorMessage="1" sqref="G9 G12 G14:G16 G53 G18:G20 G23:G27 G29 G31 G33:G35 G37:G41 G44:G45 G47:G49 G51 G55:G56" xr:uid="{00000000-0002-0000-0700-00000B000000}">
      <formula1>0</formula1>
      <formula2>C9</formula2>
    </dataValidation>
  </dataValidations>
  <pageMargins left="0.7" right="0.7" top="0.75" bottom="0.75" header="0.3" footer="0.3"/>
  <pageSetup paperSize="9" scale="65" orientation="portrait" r:id="rId1"/>
  <colBreaks count="1" manualBreakCount="1">
    <brk id="7" max="60" man="1"/>
  </colBreaks>
  <drawing r:id="rId2"/>
  <legacyDrawing r:id="rId3"/>
  <oleObjects>
    <mc:AlternateContent xmlns:mc="http://schemas.openxmlformats.org/markup-compatibility/2006">
      <mc:Choice Requires="x14">
        <oleObject progId="Worksheet" dvAspect="DVASPECT_ICON" shapeId="5123" r:id="rId4">
          <objectPr defaultSize="0" autoPict="0" r:id="rId5">
            <anchor moveWithCells="1">
              <from>
                <xdr:col>0</xdr:col>
                <xdr:colOff>0</xdr:colOff>
                <xdr:row>2</xdr:row>
                <xdr:rowOff>228600</xdr:rowOff>
              </from>
              <to>
                <xdr:col>1</xdr:col>
                <xdr:colOff>317500</xdr:colOff>
                <xdr:row>3</xdr:row>
                <xdr:rowOff>0</xdr:rowOff>
              </to>
            </anchor>
          </objectPr>
        </oleObject>
      </mc:Choice>
      <mc:Fallback>
        <oleObject progId="Worksheet" dvAspect="DVASPECT_ICON" shapeId="512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B4E62E-B76A-45C9-8119-784AF144E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A12950-58DB-4E77-9B70-B9E86C52842D}">
  <ds:schemaRefs>
    <ds:schemaRef ds:uri="http://schemas.microsoft.com/sharepoint/v3/contenttype/forms"/>
  </ds:schemaRefs>
</ds:datastoreItem>
</file>

<file path=customXml/itemProps3.xml><?xml version="1.0" encoding="utf-8"?>
<ds:datastoreItem xmlns:ds="http://schemas.openxmlformats.org/officeDocument/2006/customXml" ds:itemID="{6999D3F9-538E-4A25-9B95-2DD42F932368}">
  <ds:schemaRefs>
    <ds:schemaRef ds:uri="769e7733-098f-4952-a7c5-eba28e214a4c"/>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877456d8-1210-4b15-ac98-75c3938124b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Louis CHONG (BCA)</cp:lastModifiedBy>
  <cp:revision/>
  <dcterms:created xsi:type="dcterms:W3CDTF">2021-09-01T03:12:41Z</dcterms:created>
  <dcterms:modified xsi:type="dcterms:W3CDTF">2024-09-17T08:58:21Z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2021-10-28T10:46:37Z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0baf3cdf-1882-40a4-999e-dfa103d921a3</vt:lpwstr>
  </property>
  <property fmtid="{D5CDD505-2E9C-101B-9397-08002B2CF9AE}" pid="8" name="MSIP_Label_5434c4c7-833e-41e4-b0ab-cdb227a2f6f7_ContentBits">
    <vt:lpwstr>0</vt:lpwstr>
  </property>
  <property fmtid="{D5CDD505-2E9C-101B-9397-08002B2CF9AE}" pid="9" name="ContentTypeId">
    <vt:lpwstr>0x010100FF817A334131254FA24ACFAEA9B0C38B</vt:lpwstr>
  </property>
</Properties>
</file>