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updateLinks="never" defaultThemeVersion="166925"/>
  <mc:AlternateContent xmlns:mc="http://schemas.openxmlformats.org/markup-compatibility/2006">
    <mc:Choice Requires="x15">
      <x15ac:absPath xmlns:x15ac="http://schemas.microsoft.com/office/spreadsheetml/2010/11/ac" url="https://gccprod-my.sharepoint.com/personal/wee_kai_siong_bca_gov_sg/Documents/+ BCA/+ CCA/+ Data Centre Criteria Review/"/>
    </mc:Choice>
  </mc:AlternateContent>
  <xr:revisionPtr revIDLastSave="2" documentId="13_ncr:1_{E06719E6-4EA4-40C3-BAAE-9B39FD27ED48}" xr6:coauthVersionLast="47" xr6:coauthVersionMax="47" xr10:uidLastSave="{3485CECA-5788-4CDF-B178-6731349F49EA}"/>
  <bookViews>
    <workbookView xWindow="-108" yWindow="-108" windowWidth="23256" windowHeight="14016" tabRatio="743" xr2:uid="{00000000-000D-0000-FFFF-FFFF00000000}"/>
  </bookViews>
  <sheets>
    <sheet name="Project Details" sheetId="27" r:id="rId1"/>
    <sheet name="Summary" sheetId="1" r:id="rId2"/>
    <sheet name="1. Energy Efficiency" sheetId="28" r:id="rId3"/>
    <sheet name="2. Carbon" sheetId="3" r:id="rId4"/>
    <sheet name="3. Resilience" sheetId="2" r:id="rId5"/>
    <sheet name="4. Health and Wellbeing" sheetId="30" r:id="rId6"/>
    <sheet name="5. Intelligence" sheetId="29" r:id="rId7"/>
    <sheet name="6. Maintainability" sheetId="26" r:id="rId8"/>
  </sheets>
  <externalReferences>
    <externalReference r:id="rId9"/>
    <externalReference r:id="rId10"/>
    <externalReference r:id="rId11"/>
    <externalReference r:id="rId12"/>
  </externalReferences>
  <definedNames>
    <definedName name="_xlnm._FilterDatabase" localSheetId="3" hidden="1">'2. Carbon'!$A$1:$I$20</definedName>
    <definedName name="Aircon_Ticks">'[1]Raw Data'!$D$7:$D$9</definedName>
    <definedName name="CoolingLoad">'[2]Building Data schedule'!$G$36:$H$46</definedName>
    <definedName name="_xlnm.Print_Area" localSheetId="4">'3. Resilience'!$A$1:$G$26</definedName>
    <definedName name="_xlnm.Print_Area" localSheetId="7">'6. Maintainability'!$A$1:$G$38</definedName>
    <definedName name="Step">'[1]Raw Data'!$D$2:$D$4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5" i="3" l="1"/>
  <c r="B3" i="1"/>
  <c r="F17" i="2" l="1"/>
  <c r="Q31" i="3" l="1"/>
  <c r="P31" i="3"/>
  <c r="Q29" i="3"/>
  <c r="P29" i="3"/>
  <c r="H29" i="3" s="1"/>
  <c r="Q27" i="3"/>
  <c r="P27" i="3"/>
  <c r="Q25" i="3"/>
  <c r="P25" i="3"/>
  <c r="Q23" i="3"/>
  <c r="P23" i="3"/>
  <c r="Q21" i="3"/>
  <c r="P21" i="3"/>
  <c r="Q19" i="3"/>
  <c r="P19" i="3"/>
  <c r="H4" i="30"/>
  <c r="H5" i="30" s="1"/>
  <c r="I7" i="2"/>
  <c r="I6" i="2"/>
  <c r="I5" i="2"/>
  <c r="I18" i="28"/>
  <c r="F18" i="28" s="1"/>
  <c r="J5" i="28"/>
  <c r="F5" i="28" s="1"/>
  <c r="F7" i="28" s="1"/>
  <c r="C12" i="1"/>
  <c r="F24" i="26"/>
  <c r="F37" i="26"/>
  <c r="F36" i="26"/>
  <c r="F33" i="26"/>
  <c r="F32" i="26"/>
  <c r="F30" i="26"/>
  <c r="F28" i="26"/>
  <c r="F27" i="26"/>
  <c r="K22" i="26"/>
  <c r="M22" i="26" s="1"/>
  <c r="K21" i="26"/>
  <c r="M21" i="26" s="1"/>
  <c r="F19" i="26"/>
  <c r="F18" i="26"/>
  <c r="F16" i="26"/>
  <c r="F15" i="26"/>
  <c r="K13" i="26"/>
  <c r="M13" i="26" s="1"/>
  <c r="F12" i="26"/>
  <c r="F11" i="26"/>
  <c r="F10" i="26"/>
  <c r="F8" i="26"/>
  <c r="K6" i="26"/>
  <c r="M6" i="26" s="1"/>
  <c r="F4" i="26"/>
  <c r="F5" i="26" s="1"/>
  <c r="K5" i="26"/>
  <c r="M5" i="26" s="1"/>
  <c r="F25" i="29"/>
  <c r="F22" i="29"/>
  <c r="F19" i="29"/>
  <c r="F5" i="29"/>
  <c r="F7" i="29"/>
  <c r="F8" i="29"/>
  <c r="H22" i="30"/>
  <c r="H21" i="30"/>
  <c r="H17" i="30"/>
  <c r="H10" i="30"/>
  <c r="H9" i="30"/>
  <c r="H13" i="30"/>
  <c r="H12" i="30"/>
  <c r="H8" i="30"/>
  <c r="F25" i="2" a="1"/>
  <c r="F25" i="2" s="1"/>
  <c r="F22" i="2"/>
  <c r="F18" i="2"/>
  <c r="F12" i="2"/>
  <c r="F13" i="2"/>
  <c r="I8" i="2"/>
  <c r="J8" i="2" s="1"/>
  <c r="H44" i="3"/>
  <c r="H45" i="3" s="1"/>
  <c r="H49" i="3"/>
  <c r="H42" i="3"/>
  <c r="H18" i="3"/>
  <c r="H15" i="3"/>
  <c r="H11" i="3"/>
  <c r="H9" i="3"/>
  <c r="H6" i="3" a="1"/>
  <c r="H6" i="3" s="1"/>
  <c r="H4" i="3"/>
  <c r="I24" i="28"/>
  <c r="F24" i="28" s="1"/>
  <c r="F21" i="28"/>
  <c r="F22" i="28" s="1"/>
  <c r="F15" i="28" a="1"/>
  <c r="F15" i="28" s="1"/>
  <c r="F13" i="28"/>
  <c r="I10" i="28"/>
  <c r="F10" i="28" s="1"/>
  <c r="I9" i="28"/>
  <c r="F9" i="28" s="1"/>
  <c r="I5" i="28"/>
  <c r="B14" i="1"/>
  <c r="B2" i="1"/>
  <c r="H23" i="3" l="1"/>
  <c r="F11" i="28"/>
  <c r="J5" i="2"/>
  <c r="F5" i="2" s="1"/>
  <c r="H21" i="3"/>
  <c r="H25" i="3"/>
  <c r="H27" i="3"/>
  <c r="H31" i="3"/>
  <c r="H19" i="3"/>
  <c r="H33" i="3" s="1"/>
  <c r="H16" i="3"/>
  <c r="F25" i="28"/>
  <c r="F19" i="28"/>
  <c r="F16" i="28"/>
  <c r="F38" i="26"/>
  <c r="F20" i="26"/>
  <c r="H14" i="30"/>
  <c r="H2" i="30" s="1"/>
  <c r="C11" i="1" s="1"/>
  <c r="F20" i="2"/>
  <c r="F15" i="2"/>
  <c r="F8" i="2"/>
  <c r="F9" i="2" l="1"/>
  <c r="H2" i="3"/>
  <c r="C9" i="1" s="1"/>
  <c r="F2" i="28"/>
  <c r="C8" i="1" s="1"/>
  <c r="F2" i="26"/>
  <c r="C13" i="1" s="1"/>
  <c r="H18" i="30" l="1"/>
  <c r="H19" i="30" s="1"/>
  <c r="F24" i="29"/>
  <c r="F23" i="29"/>
  <c r="F18" i="29"/>
  <c r="F15" i="29"/>
  <c r="F13" i="29"/>
  <c r="F12" i="29"/>
  <c r="F9" i="29"/>
  <c r="F16" i="29" l="1"/>
  <c r="F2" i="29" s="1"/>
  <c r="F26" i="29"/>
  <c r="F20" i="29"/>
  <c r="K28" i="26" l="1"/>
  <c r="M28" i="26" s="1"/>
  <c r="K8" i="26"/>
  <c r="M8" i="26" s="1"/>
  <c r="B7" i="26"/>
  <c r="K27" i="26" l="1"/>
  <c r="M27" i="26" s="1"/>
  <c r="K3" i="26" l="1"/>
  <c r="M3" i="26" s="1"/>
  <c r="K4" i="26"/>
  <c r="M4" i="26" s="1"/>
  <c r="K26" i="26"/>
  <c r="M26" i="26" s="1"/>
  <c r="K20" i="26" l="1"/>
  <c r="M20" i="26" s="1"/>
  <c r="K7" i="26" l="1"/>
  <c r="M7" i="26" s="1"/>
  <c r="F23" i="2" l="1"/>
  <c r="F26" i="2"/>
  <c r="F2" i="2" l="1"/>
  <c r="C10" i="1" s="1"/>
  <c r="C14" i="1"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544AB35-9D15-4090-A475-868E21E20ECE}" keepAlive="1" name="Query - Table1" description="Connection to the 'Table1' query in the workbook." type="5" refreshedVersion="0" background="1">
    <dbPr connection="Provider=Microsoft.Mashup.OleDb.1;Data Source=$Workbook$;Location=Table1;Extended Properties=&quot;&quot;" command="SELECT * FROM [Table1]"/>
  </connection>
</connection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<sst xmlns="http://schemas.openxmlformats.org/spreadsheetml/2006/main" count="469" uniqueCount="292">
  <si>
    <t>Project Details</t>
  </si>
  <si>
    <t>Possible inputs</t>
  </si>
  <si>
    <t>GM Reference No</t>
  </si>
  <si>
    <t>Type of Building</t>
  </si>
  <si>
    <t>Office / Retail / Hotel / Mixed Office + Retail</t>
  </si>
  <si>
    <r>
      <t>GFA (m</t>
    </r>
    <r>
      <rPr>
        <vertAlign val="superscript"/>
        <sz val="11"/>
        <color theme="1"/>
        <rFont val="Arial"/>
        <family val="2"/>
      </rPr>
      <t>2</t>
    </r>
    <r>
      <rPr>
        <sz val="11"/>
        <color theme="1"/>
        <rFont val="Arial"/>
        <family val="2"/>
      </rPr>
      <t>)</t>
    </r>
  </si>
  <si>
    <r>
      <t>Carpark Area (m</t>
    </r>
    <r>
      <rPr>
        <vertAlign val="superscript"/>
        <sz val="11"/>
        <color theme="1"/>
        <rFont val="Arial"/>
        <family val="2"/>
      </rPr>
      <t>2</t>
    </r>
    <r>
      <rPr>
        <sz val="11"/>
        <color theme="1"/>
        <rFont val="Arial"/>
        <family val="2"/>
      </rPr>
      <t>)</t>
    </r>
  </si>
  <si>
    <r>
      <t>Air-conditioned Area (m</t>
    </r>
    <r>
      <rPr>
        <vertAlign val="superscript"/>
        <sz val="11"/>
        <color theme="1"/>
        <rFont val="Arial"/>
        <family val="2"/>
      </rPr>
      <t>2</t>
    </r>
    <r>
      <rPr>
        <sz val="11"/>
        <color theme="1"/>
        <rFont val="Arial"/>
        <family val="2"/>
      </rPr>
      <t>)</t>
    </r>
  </si>
  <si>
    <t>Building Key Performance Data:</t>
  </si>
  <si>
    <t>Type of Aircon system</t>
  </si>
  <si>
    <t>Central Water-cooled Chiller Plant / VRF System / Unitary System</t>
  </si>
  <si>
    <t>Building cooling load (RT)</t>
  </si>
  <si>
    <t>Chiller configuration (e.g. 3 nos. x 500RT)</t>
  </si>
  <si>
    <t>Air Distribution system efficiency (kW/RT)</t>
  </si>
  <si>
    <t>Total System Efficiency, TSE (kW/RT)</t>
  </si>
  <si>
    <t>Total Building Energy consumption (kWh/yr)</t>
  </si>
  <si>
    <t>EUI (kWh/m2/yr)</t>
  </si>
  <si>
    <t>Reason for Certification</t>
  </si>
  <si>
    <t>GM Ref No.</t>
  </si>
  <si>
    <t>Project Name:</t>
  </si>
  <si>
    <t>Revision:</t>
  </si>
  <si>
    <t>SUMMARY</t>
  </si>
  <si>
    <t>MAX POINTS</t>
  </si>
  <si>
    <t>SCORING POINTS</t>
  </si>
  <si>
    <t>REMARKS</t>
  </si>
  <si>
    <t>Resilience</t>
  </si>
  <si>
    <t>Intelligence</t>
  </si>
  <si>
    <t>Maintainability</t>
  </si>
  <si>
    <t>TOTAL</t>
  </si>
  <si>
    <t>Carbon</t>
  </si>
  <si>
    <t>Responsive</t>
  </si>
  <si>
    <t>CRITERIA FOR ENERGY EFFICIENCY SECTION</t>
  </si>
  <si>
    <t>Data Input</t>
  </si>
  <si>
    <t>Input Required</t>
  </si>
  <si>
    <t>ENERGY EFFICIENCY</t>
  </si>
  <si>
    <t>Building supplied by District Cooling System?</t>
  </si>
  <si>
    <t>Y/N</t>
  </si>
  <si>
    <t>Input (#)</t>
  </si>
  <si>
    <t>(i)</t>
  </si>
  <si>
    <t>(ii)</t>
  </si>
  <si>
    <t>Input (%)</t>
  </si>
  <si>
    <t>(iii)</t>
  </si>
  <si>
    <t>(iv)</t>
  </si>
  <si>
    <t>CRITERIA FOR RESILIENCE SECTION</t>
  </si>
  <si>
    <t>Available points for New Buildings</t>
  </si>
  <si>
    <t>Points Scored</t>
  </si>
  <si>
    <t>Remarks</t>
  </si>
  <si>
    <t>-</t>
  </si>
  <si>
    <t>N.A.</t>
  </si>
  <si>
    <t>RE2</t>
  </si>
  <si>
    <t>Project Team</t>
  </si>
  <si>
    <t>Appointment of accredited environmentalist specialists to drive and coordinate the environmental design approach.</t>
  </si>
  <si>
    <t>Sub-total</t>
  </si>
  <si>
    <t>Max 0.5 pt</t>
  </si>
  <si>
    <t>No. of firms certified under SGBC's SGBS certification or SIFMA's CFMC accreditation scheme.</t>
  </si>
  <si>
    <t>0.25 pts/firm 
(Capped at 0.5 pts)</t>
  </si>
  <si>
    <t>RE3</t>
  </si>
  <si>
    <t>CN1</t>
  </si>
  <si>
    <t xml:space="preserve">(i) </t>
  </si>
  <si>
    <t xml:space="preserve">(ii) </t>
  </si>
  <si>
    <t>CN2</t>
  </si>
  <si>
    <t>Use of Low Carbon Concrete certified by SGBC or equivalent local certification bodies (using CEM II – V cements under SS EN 197-1) for ≥80% of applicable superstructure works by volume</t>
  </si>
  <si>
    <r>
      <t xml:space="preserve">Minimum extent of usage of WCS </t>
    </r>
    <r>
      <rPr>
        <sz val="12"/>
        <color theme="1"/>
        <rFont val="Calibri"/>
        <family val="2"/>
      </rPr>
      <t>≥</t>
    </r>
    <r>
      <rPr>
        <sz val="12"/>
        <color theme="1"/>
        <rFont val="Calibri"/>
        <family val="2"/>
        <scheme val="minor"/>
      </rPr>
      <t xml:space="preserve"> 0.75% of GFA</t>
    </r>
  </si>
  <si>
    <t>Replacement level of fine aggregate with GF used for superstructure ≥ 50%</t>
  </si>
  <si>
    <t>Minimum extent of usage of GF ≥ 1.5% of GFA</t>
  </si>
  <si>
    <t>Existing structures are demolished with an enhanced demolition protocol, where a recovery rate of ≥ 40% of crushed concrete waste from demolished building sent to approved recyclers with proper recycling facilities</t>
  </si>
  <si>
    <t>CN3</t>
  </si>
  <si>
    <t>CRITERIA FOR HEALTH &amp; WELLBEING SECTION</t>
  </si>
  <si>
    <t>Health &amp; Wellbeing</t>
  </si>
  <si>
    <t>HW1</t>
  </si>
  <si>
    <t>Air Quality and Comfort</t>
  </si>
  <si>
    <r>
      <rPr>
        <b/>
        <sz val="12"/>
        <color theme="1"/>
        <rFont val="Calibri"/>
        <family val="2"/>
        <scheme val="minor"/>
      </rPr>
      <t>Periodic (Post) Occupancy Evaluation</t>
    </r>
    <r>
      <rPr>
        <sz val="12"/>
        <color theme="1"/>
        <rFont val="Calibri"/>
        <family val="2"/>
        <scheme val="minor"/>
      </rPr>
      <t xml:space="preserve">
At least once every 3 years </t>
    </r>
  </si>
  <si>
    <t>Clean Air</t>
  </si>
  <si>
    <t>UVGI system for air disinfection</t>
  </si>
  <si>
    <t>HW2</t>
  </si>
  <si>
    <t>Direct connection to plants, water, light or nature views; Indirect connection via natural materials, patterns, art; Placement of natural elements along common circulation routes, shared seating areas, workstations</t>
  </si>
  <si>
    <t>Fixed indoor planting distributed at key common areas. &gt;10% of common area (by floor Area) to have fixed indoor planting, and/or ponds.</t>
  </si>
  <si>
    <t>Placement of natural elements, and use of mixed textures in key common areas such as atria, entrance lobbies, shared seating areas, and key circulation routes.</t>
  </si>
  <si>
    <t>HW3</t>
  </si>
  <si>
    <t>CRITERIA FOR INTELLIGENCE SECTION</t>
  </si>
  <si>
    <t>Digital Life Cycle</t>
  </si>
  <si>
    <t>PIM (BIM) developed in accordance with  Singapore Model Content Requirements (MCR).</t>
  </si>
  <si>
    <t xml:space="preserve">Use of spatial model co-ordination platform based on PIM for spatial analysis including: </t>
  </si>
  <si>
    <t>a. Identifying system clashes through an automatic model checking tool</t>
  </si>
  <si>
    <t>b. Spatial analysis for effective construction, maintenance and future alteration or replacement.</t>
  </si>
  <si>
    <t>Digital building commissioning, performance and defect co-ordination platform based on PIM to track, co-ordinate and manage the commissioning of systems and the tracking of defects and their rectification.</t>
  </si>
  <si>
    <t>Performance dashboard to monitor the different aspect of building assets’ performance and operations from a single dashboard:</t>
  </si>
  <si>
    <t>Asset Information Model</t>
  </si>
  <si>
    <t>Physical and virtual asset information tagging system that allows for tracking of maintenance work, repairs, refurbishments or upgrades, replacement, decommissioning, risk assessments, and performance evaluations of the physical asset to be captured.</t>
  </si>
  <si>
    <t>Demonstrate accountable data ethics practices that identifies the various opportunities for the collection, analysis, and use of data, organised around 4 principles:
a) Governance and Transparency
b) Management of Personal Data
c) Care of Personal Data
d) Individuals’ Rights</t>
  </si>
  <si>
    <t>Tenant energy monitoring and optimisation – continuously monitor, benchmark, and report tenant energy consumption to optimise the energy consumption.</t>
  </si>
  <si>
    <t>CRITERIA FOR MAINTAINABILITY SECTION</t>
  </si>
  <si>
    <t>Points Scored from Embedded Scoresheet</t>
  </si>
  <si>
    <r>
      <t xml:space="preserve">Replacement of aggregates
</t>
    </r>
    <r>
      <rPr>
        <sz val="12"/>
        <rFont val="Calibri"/>
        <family val="2"/>
        <scheme val="minor"/>
      </rPr>
      <t xml:space="preserve">Replacement of coarse and fine aggregates for structural concrete applications [by mass of Crushed Concrete Aggregates (CCA), Washed Copper Slag (WCS), granite fines (GF)] must meet both minimum requirements in terms of </t>
    </r>
    <r>
      <rPr>
        <u/>
        <sz val="12"/>
        <rFont val="Calibri"/>
        <family val="2"/>
        <scheme val="minor"/>
      </rPr>
      <t>extent of usage</t>
    </r>
    <r>
      <rPr>
        <sz val="12"/>
        <rFont val="Calibri"/>
        <family val="2"/>
        <scheme val="minor"/>
      </rPr>
      <t xml:space="preserve"> and </t>
    </r>
    <r>
      <rPr>
        <u/>
        <sz val="12"/>
        <rFont val="Calibri"/>
        <family val="2"/>
        <scheme val="minor"/>
      </rPr>
      <t>replacement levels</t>
    </r>
  </si>
  <si>
    <r>
      <t>Total concrete use for superstructure (m</t>
    </r>
    <r>
      <rPr>
        <vertAlign val="superscript"/>
        <sz val="12"/>
        <rFont val="Calibri"/>
        <family val="2"/>
        <scheme val="minor"/>
      </rPr>
      <t>3</t>
    </r>
    <r>
      <rPr>
        <sz val="12"/>
        <rFont val="Calibri"/>
        <family val="2"/>
        <scheme val="minor"/>
      </rPr>
      <t>)</t>
    </r>
  </si>
  <si>
    <r>
      <t xml:space="preserve">Replacement level of coarse aggregate with CCA </t>
    </r>
    <r>
      <rPr>
        <sz val="12"/>
        <rFont val="Calibri"/>
        <family val="2"/>
      </rPr>
      <t>≥ 20%</t>
    </r>
  </si>
  <si>
    <t>Minimum extent of usage of CCA ≥ 1.5% of GFA</t>
  </si>
  <si>
    <t>Building Name</t>
  </si>
  <si>
    <t>Address</t>
  </si>
  <si>
    <t>Type of Data Centre</t>
  </si>
  <si>
    <t>Enterprise / Co-locator</t>
  </si>
  <si>
    <t>75% IT Load</t>
  </si>
  <si>
    <t>50% IT Load</t>
  </si>
  <si>
    <t>25% IT Load</t>
  </si>
  <si>
    <t>100% IT Load</t>
  </si>
  <si>
    <t>PUE (kWh/kWh)</t>
  </si>
  <si>
    <t>IT load capacity (MW)</t>
  </si>
  <si>
    <t>Energy Efficiency</t>
  </si>
  <si>
    <t>Maintenance</t>
  </si>
  <si>
    <t>Health and Wellbeing</t>
  </si>
  <si>
    <t>RE1</t>
  </si>
  <si>
    <t>IN1</t>
  </si>
  <si>
    <t>IN2</t>
  </si>
  <si>
    <t>IN3</t>
  </si>
  <si>
    <t>MT1</t>
  </si>
  <si>
    <t>MT2</t>
  </si>
  <si>
    <t>MT3</t>
  </si>
  <si>
    <t>(a)</t>
  </si>
  <si>
    <t>(b)</t>
  </si>
  <si>
    <t>New Data Centres</t>
  </si>
  <si>
    <t>Existing Data Centres</t>
  </si>
  <si>
    <t>Total System Efficiency</t>
  </si>
  <si>
    <t>Air-Side Efficiency (For DCS)</t>
  </si>
  <si>
    <t>Working</t>
  </si>
  <si>
    <t>SUB-TOTAL FOR EE 1</t>
  </si>
  <si>
    <t>SUB-TOTAL FOR EE 2</t>
  </si>
  <si>
    <t>Using CFD simulation to analyse and improve air management</t>
  </si>
  <si>
    <t>Existing Data Centres Return Temperature</t>
  </si>
  <si>
    <t>(c)</t>
  </si>
  <si>
    <t>Supply Air Temperature (SAT) of air leaving aircon unit</t>
  </si>
  <si>
    <r>
      <t xml:space="preserve">Input (#) </t>
    </r>
    <r>
      <rPr>
        <b/>
        <vertAlign val="superscript"/>
        <sz val="12"/>
        <rFont val="Calibri"/>
        <family val="2"/>
        <scheme val="minor"/>
      </rPr>
      <t>o</t>
    </r>
    <r>
      <rPr>
        <b/>
        <sz val="12"/>
        <rFont val="Calibri"/>
        <family val="2"/>
        <scheme val="minor"/>
      </rPr>
      <t>C</t>
    </r>
  </si>
  <si>
    <t>SUB-TOTAL FOR EE 3</t>
  </si>
  <si>
    <r>
      <t xml:space="preserve">IT power chain efficiency </t>
    </r>
    <r>
      <rPr>
        <sz val="12"/>
        <color theme="1"/>
        <rFont val="Aptos Narrow"/>
        <family val="2"/>
      </rPr>
      <t>≥</t>
    </r>
    <r>
      <rPr>
        <sz val="12"/>
        <color theme="1"/>
        <rFont val="Calibri"/>
        <family val="2"/>
      </rPr>
      <t>85% at 25% IT load</t>
    </r>
  </si>
  <si>
    <t>SUB-TOTAL FOR EE 4</t>
  </si>
  <si>
    <t>SUB-TOTAL FOR EE 5</t>
  </si>
  <si>
    <t>Implemented Hot Aisle / Cold Aisle Containment</t>
  </si>
  <si>
    <t>SUB-TOTAL FOR EE 6</t>
  </si>
  <si>
    <t>CRITERIA FOR CARBON SECTION</t>
  </si>
  <si>
    <t>Power Usae Effectiveness (PUE)</t>
  </si>
  <si>
    <t xml:space="preserve">EE 1 </t>
  </si>
  <si>
    <t xml:space="preserve">EE 2 </t>
  </si>
  <si>
    <t>Cooling System Efficiency</t>
  </si>
  <si>
    <t>Air Management</t>
  </si>
  <si>
    <t>EE 3</t>
  </si>
  <si>
    <t>EE 4</t>
  </si>
  <si>
    <t>IT Power Chain Efficiency</t>
  </si>
  <si>
    <t>EE 5</t>
  </si>
  <si>
    <t>Hot Aisle / Cold Aisle Containment</t>
  </si>
  <si>
    <t>EE 6</t>
  </si>
  <si>
    <t>Renewable Energy</t>
  </si>
  <si>
    <t>Sustainable Design and Construction</t>
  </si>
  <si>
    <t>Scalable expansion by building up capacity in a modular approach</t>
  </si>
  <si>
    <t>SGBP 2 ticks/ SGBP 3 ticks/SGBP 4 ticks or equivalent administered by local certification bodies</t>
  </si>
  <si>
    <t>Replacement level of fine aggregate with WCS used for superstructure ≥ 10%</t>
  </si>
  <si>
    <t>(d)</t>
  </si>
  <si>
    <t>SUB-TOTAL FOR CN1</t>
  </si>
  <si>
    <t>Sustainable products and materials</t>
  </si>
  <si>
    <t>SUB-TOTAL FOR CN2</t>
  </si>
  <si>
    <r>
      <t xml:space="preserve">≥ 60% (by cost) of Mechanical, Electrical and Plumbing (MEP) systems are SGBP certified (or equivalent)  administered by local certification bodies
</t>
    </r>
    <r>
      <rPr>
        <b/>
        <sz val="12"/>
        <color theme="1"/>
        <rFont val="Calibri"/>
        <family val="2"/>
        <scheme val="minor"/>
      </rPr>
      <t>At least 3 MEP systems</t>
    </r>
  </si>
  <si>
    <t>(to list the 3 systems here)</t>
  </si>
  <si>
    <t>Weightage</t>
  </si>
  <si>
    <t>Very Good</t>
  </si>
  <si>
    <t>Excellent</t>
  </si>
  <si>
    <t>Leader</t>
  </si>
  <si>
    <t>Column1</t>
  </si>
  <si>
    <t>Column2</t>
  </si>
  <si>
    <r>
      <rPr>
        <b/>
        <sz val="12"/>
        <color theme="1"/>
        <rFont val="Calibri"/>
        <family val="2"/>
        <scheme val="minor"/>
      </rPr>
      <t xml:space="preserve">Green Materials
</t>
    </r>
    <r>
      <rPr>
        <sz val="12"/>
        <color theme="1"/>
        <rFont val="Calibri"/>
        <family val="2"/>
        <scheme val="minor"/>
      </rPr>
      <t xml:space="preserve">Points awarded based on weightage and the extent of the coverage and impact (i.e. weightage x extent of coverage and impact)
</t>
    </r>
  </si>
  <si>
    <t>Factor Based on Extent of Coverage and Impact of the Material</t>
  </si>
  <si>
    <t>High Impact</t>
  </si>
  <si>
    <t>Low Impact</t>
  </si>
  <si>
    <r>
      <t xml:space="preserve">Note: High impact refers to </t>
    </r>
    <r>
      <rPr>
        <sz val="12"/>
        <color theme="1"/>
        <rFont val="Aptos Narrow"/>
        <family val="2"/>
      </rPr>
      <t>≥</t>
    </r>
    <r>
      <rPr>
        <sz val="12"/>
        <color theme="1"/>
        <rFont val="Calibri"/>
        <family val="2"/>
      </rPr>
      <t>60% of usage; Low impact refers to &lt;60% usage of applicable areas</t>
    </r>
  </si>
  <si>
    <t>Energy Efficient IT Equipment</t>
  </si>
  <si>
    <t>SUB-TOTAL FOR CN3</t>
  </si>
  <si>
    <t>IT equipment must have a valid certificate under US Energy Star or equivalent certification scheme. In cases where Energy Star or equivalent certification is not available, individual compute server equipment’s active state efficiency score obtained using Standard Performance Evaluation Corporation (SPEC)’s Server Efficiency Rating Tool (SERT) ver. 2.0 and above shall be provided to show that the equipment is as energy efficient as that specified by Energy Star or equivalent certification.</t>
  </si>
  <si>
    <t>IT equipment shall be able to operate at Class A2 conditions as defined by ASHRAE Environment Classes for Data Centres.</t>
  </si>
  <si>
    <t>50% ≤ Coverage of IT equipment &lt; 70%</t>
  </si>
  <si>
    <t>70% ≤ Coverage of IT equipment &lt; 85%</t>
  </si>
  <si>
    <t>Coverage of IT equipment ≥ 85%</t>
  </si>
  <si>
    <t>point</t>
  </si>
  <si>
    <t>points</t>
  </si>
  <si>
    <t>CN4</t>
  </si>
  <si>
    <t>SS 564 Certification</t>
  </si>
  <si>
    <t>SUB-TOTAL FOR CN4</t>
  </si>
  <si>
    <t>To obtain SS 564 certification which assists organizations in establishing and maintaining a management system focused on energy efficiency and environmental stewardship</t>
  </si>
  <si>
    <t>CN5</t>
  </si>
  <si>
    <t xml:space="preserve">Greenhouse Gas (GHG) Emissions Monitoring and Tracking
</t>
  </si>
  <si>
    <t>Scope 1 GHG emission (direct emission) and Scope 2 GHG emission (indirect emission)</t>
  </si>
  <si>
    <t>Scope 3 GHG emission (indirect emission) for at least 2 relevant categories</t>
  </si>
  <si>
    <t>SUB-TOTAL FOR RE1</t>
  </si>
  <si>
    <t>0.25 pts/GMAP/CFME &amp; 0.5 pts /GM AAP 
(Capped at 0.5 pts)</t>
  </si>
  <si>
    <t>Refrigerant and Fire Suppressant</t>
  </si>
  <si>
    <t>Points will be awarded based on the Ozone Depleting Potential (ODP) and Global Warming Potential (GWP) for the following (ODP=0 and GWP&lt;10):</t>
  </si>
  <si>
    <t>Refrigerants</t>
  </si>
  <si>
    <t>Fire Suppressant in the whole data centre</t>
  </si>
  <si>
    <t>Note: To be awarded any points, all refrigerants and fire suppressants used throughout the data centre must comply with these criteria.</t>
  </si>
  <si>
    <t>SUB-TOTAL FOR RE2</t>
  </si>
  <si>
    <t>Reduction in Water Consumption of Cooling Towers</t>
  </si>
  <si>
    <t>Use of alternate water for cooling tower makeup water such as rainwater, AHU condensate water, NEWater, etc.</t>
  </si>
  <si>
    <t>Note: DCs are to provide cooling tower water conductivity sensors for real-time COC trending and monitoring.</t>
  </si>
  <si>
    <t>State alternate water source</t>
  </si>
  <si>
    <t>SUB-TOTAL FOR RE3</t>
  </si>
  <si>
    <r>
      <t xml:space="preserve">Use of a cooling tower water treatment system which can achieve
- 7 or better cycles of concentration (COC) with acceptable water quality when utilising PW ; </t>
    </r>
    <r>
      <rPr>
        <b/>
        <sz val="12"/>
        <color theme="1"/>
        <rFont val="Calibri"/>
        <family val="2"/>
        <scheme val="minor"/>
      </rPr>
      <t>OR</t>
    </r>
    <r>
      <rPr>
        <sz val="12"/>
        <color theme="1"/>
        <rFont val="Calibri"/>
        <family val="2"/>
        <scheme val="minor"/>
      </rPr>
      <t xml:space="preserve">
- 10 or better cycles of concentration (COC) with acceptable water quality when utilising NW</t>
    </r>
  </si>
  <si>
    <r>
      <t>COC</t>
    </r>
    <r>
      <rPr>
        <sz val="11"/>
        <color theme="1"/>
        <rFont val="Aptos Narrow"/>
        <family val="2"/>
      </rPr>
      <t>≥</t>
    </r>
    <r>
      <rPr>
        <sz val="11"/>
        <color theme="1"/>
        <rFont val="Calibri"/>
        <family val="2"/>
        <scheme val="minor"/>
      </rPr>
      <t xml:space="preserve"> 7 with PW</t>
    </r>
  </si>
  <si>
    <t>COC≥10 with NW</t>
  </si>
  <si>
    <t>RE4</t>
  </si>
  <si>
    <t>Water Efficient Fittings</t>
  </si>
  <si>
    <t>Use of minimum WELS 3-ticks rating for all water fittings</t>
  </si>
  <si>
    <t>SUB-TOTAL FOR RE4</t>
  </si>
  <si>
    <t>RE5</t>
  </si>
  <si>
    <t>Water Usage Effectiveness (WUE)</t>
  </si>
  <si>
    <t>Points will be awarded for WUE less than 2.2m3/MWh/year.
WUE (m³/MWh/year) = Annual Water Consumption (m3) / Annual IT energy (MWh)</t>
  </si>
  <si>
    <t>SUB-TOTAL FOR RE5</t>
  </si>
  <si>
    <t>Active Furnishing</t>
  </si>
  <si>
    <t>Sub-Total for HW1</t>
  </si>
  <si>
    <t>Use of hybrid cooling system (elevated temperature with increased air speed) that can meet PMV +/- 0.5</t>
  </si>
  <si>
    <t>Occupant Comfort</t>
  </si>
  <si>
    <t xml:space="preserve">(iii) </t>
  </si>
  <si>
    <r>
      <rPr>
        <b/>
        <sz val="12"/>
        <color theme="1"/>
        <rFont val="Calibri"/>
        <family val="2"/>
        <scheme val="minor"/>
      </rPr>
      <t xml:space="preserve">IAQ Surveillance Audit </t>
    </r>
    <r>
      <rPr>
        <sz val="12"/>
        <color theme="1"/>
        <rFont val="Calibri"/>
        <family val="2"/>
        <scheme val="minor"/>
      </rPr>
      <t xml:space="preserve">
By an accredited laboratory once very 3 years</t>
    </r>
  </si>
  <si>
    <r>
      <rPr>
        <b/>
        <sz val="12"/>
        <color theme="1"/>
        <rFont val="Calibri"/>
        <family val="2"/>
        <scheme val="minor"/>
      </rPr>
      <t>Air Filtration</t>
    </r>
    <r>
      <rPr>
        <sz val="12"/>
        <color theme="1"/>
        <rFont val="Calibri"/>
        <family val="2"/>
        <scheme val="minor"/>
      </rPr>
      <t xml:space="preserve">
Permanent provision of ePM1 ≥75% (ISO 16890) [or alternatively at least MERV 14A (ASHRAE 52.2 Appendix J)] media filters for occupied space</t>
    </r>
  </si>
  <si>
    <t>Sub-Total for HW2</t>
  </si>
  <si>
    <t xml:space="preserve">Biophilic Design
</t>
  </si>
  <si>
    <t>Sub-Total for HW3</t>
  </si>
  <si>
    <t>HW4</t>
  </si>
  <si>
    <t xml:space="preserve">Restorative Spaces
</t>
  </si>
  <si>
    <t>Sub-Total for HW4</t>
  </si>
  <si>
    <t>Designated indoor and/or outdoor space for restorative practices (minimum 16m2 per space, and large enough for meditation/yoga or just quiet respite) which are accessible for all building occupants.</t>
  </si>
  <si>
    <t>Integration</t>
  </si>
  <si>
    <t>i. Operational dashboard: sets of measures used to guide facility operations such as energy &amp; water efficiency and work order status.</t>
  </si>
  <si>
    <t>ii. Managerial dashboard: sets of metrics which may use data from multiple operational systems such as asset health and energy use per occupant.</t>
  </si>
  <si>
    <t>Performance dashboard</t>
  </si>
  <si>
    <t>Data Accessibility and Security</t>
  </si>
  <si>
    <t>Iinformation stored in the digital platform(s) can be accessed by facilities teams in a secured manner to facilitate operation and maintenance activities from anywhere and anytime.</t>
  </si>
  <si>
    <t>SUB-TOTAL FOR IN1</t>
  </si>
  <si>
    <t>SUB-TOTAL FOR IN2</t>
  </si>
  <si>
    <t>Adaptive ACMV control system (Air Side) – continuously monitor, analyse, and modify BMS control settings to optimise energy usage of ACMV (air side) system</t>
  </si>
  <si>
    <t>Adaptive ACMV control system (Water Side) – continuously monitor, analyse, and modify BMS control settings to optimise energy usage of ACMV (water-side) system</t>
  </si>
  <si>
    <t>Adaptive lighting monitoring &amp; control system – continuously monitor and control the lighting within specific areas based on inputs such as motion, daylight levels, or space temperature to reduce energy usage</t>
  </si>
  <si>
    <t>SUB-TOTAL FOR IN3</t>
  </si>
  <si>
    <t>Architectural</t>
  </si>
  <si>
    <t>SUB-TOTAL FOR MT1</t>
  </si>
  <si>
    <t>Ensure entire façade is accessible for maintenance</t>
  </si>
  <si>
    <t>Mechanical</t>
  </si>
  <si>
    <t>2.1.1</t>
  </si>
  <si>
    <t>2.1.2</t>
  </si>
  <si>
    <t>Access to cooling towers to facilitate maintenance
Provide permanent sleeve to mount davit arm for all cooling towers and hand over of 1 davit arm for each cooling tower model to building owner.</t>
  </si>
  <si>
    <t>Reduce risk of fouling issue and improve condenser water quality</t>
  </si>
  <si>
    <t>Provide microprocessor based, automatic water quality monitoring and control system linked to BMS.
The critical parameters including conductivity, temperature, pH value, hardness, salinity, oxidation reduction potential (ORP) and total dissolved solids (TSS) must be monitored by BMS.</t>
  </si>
  <si>
    <t>Provide auto-tube cleaning for water cooled chillers.</t>
  </si>
  <si>
    <r>
      <t xml:space="preserve">Provide basin sweeper system and side stream separator to remove coarse to fine particles and silt deposit in the cooling tower basin.
</t>
    </r>
    <r>
      <rPr>
        <i/>
        <sz val="12"/>
        <color theme="1"/>
        <rFont val="Calibri"/>
        <family val="2"/>
        <scheme val="minor"/>
      </rPr>
      <t>Note: The basin sweeper system shall be provided for each cooling tower.</t>
    </r>
  </si>
  <si>
    <t>Fire Protection System</t>
  </si>
  <si>
    <t>2.2.1</t>
  </si>
  <si>
    <t>Provide flexibility for maintenance and testing of sprinkler system</t>
  </si>
  <si>
    <t>Locate the flow switch drain valve in rooms with floor trap (i.e. toilet, AHU room etc.).</t>
  </si>
  <si>
    <t>Provide smart features such as the automatic flow switch testing system to automate the functional test for the fire sprinkler system.</t>
  </si>
  <si>
    <t>2.2.2</t>
  </si>
  <si>
    <t>Reduce risk of damage and periodic replacement of fire-rated boards due to exposure to high humidity and water.</t>
  </si>
  <si>
    <t>Specify the use of weatherproof fire-rated materials for fire protection services such as wet/dry riser and hydrant pipes etc.</t>
  </si>
  <si>
    <t>Specify the use of weatherproof fire-rated materials for mechanical ventilation services.</t>
  </si>
  <si>
    <t>SUB-TOTAL FOR MT2</t>
  </si>
  <si>
    <t>Electrical</t>
  </si>
  <si>
    <t>Power Distribution</t>
  </si>
  <si>
    <t>3.1.1</t>
  </si>
  <si>
    <t>Reduce risk of water Ingress into electrical room</t>
  </si>
  <si>
    <t>Electrical room must be raised by min 100 mm against the outside passageway.</t>
  </si>
  <si>
    <t>Provide min 100 mm plinth for floor mounted electrical switchboard.</t>
  </si>
  <si>
    <t>3.1.2</t>
  </si>
  <si>
    <t>Reduce risk of failure of main LT switchboard due to overheating</t>
  </si>
  <si>
    <t>Install heat sensor in the main LT switchboard to alert any abnormal rise in temperature with audible/visual alarm.</t>
  </si>
  <si>
    <t>Integrate sensor to building BMS system for online monitoring of temperature data.</t>
  </si>
  <si>
    <t>SUB-TOTAL FOR MT3</t>
  </si>
  <si>
    <t>Lighting Protection System</t>
  </si>
  <si>
    <t>Reduce risk of damage of air termination tape at roof parapet wall due to operation of façade maintenance systems such as gondola
Avoid damage to the lightning protection system by proper design and installation of facade maintenance system</t>
  </si>
  <si>
    <t>Vertical Transportation</t>
  </si>
  <si>
    <t>Provide access to roof level for equipment replacement and maintenance such as chiller plant
and pumps</t>
  </si>
  <si>
    <t>Reduce lift downtime and enhance reliability by
providing lift predictive maintenance.</t>
  </si>
  <si>
    <t>Note: Monitor key parameters such as vibration, acceleration, levelling, door jams, gaps, noise, and jerk etc.</t>
  </si>
  <si>
    <t>CCTV Camera</t>
  </si>
  <si>
    <t>Provide access to cameras located at heights (≥3 m)
i.e. foldable poles/arms</t>
  </si>
  <si>
    <t>Provide surge arrestor to all outdoor cameras</t>
  </si>
  <si>
    <t>To promote on-site renewable energy generation in order to reduce reliance on grid energy and decrease carbon emissions.
(Based on building energy consumption at 25% IT load)</t>
  </si>
  <si>
    <t>GMDC: 2024 for New Data Centres</t>
  </si>
  <si>
    <t>GMDC: 2024 ScoreCard for New Data Centres</t>
  </si>
  <si>
    <t>GoldPlus</t>
  </si>
  <si>
    <t>Platinum</t>
  </si>
  <si>
    <t>Extent of Coverage</t>
  </si>
  <si>
    <t>Certified GM AP / GM AP(FM)</t>
  </si>
  <si>
    <t>Certified GM AAP / GM AAP(FM)</t>
  </si>
  <si>
    <t>Certified FM Expert (CFME) - Tiers 1 and 2</t>
  </si>
  <si>
    <r>
      <rPr>
        <b/>
        <sz val="12"/>
        <color theme="1"/>
        <rFont val="Calibri"/>
        <family val="2"/>
        <scheme val="minor"/>
      </rPr>
      <t xml:space="preserve">Active Furnishing </t>
    </r>
    <r>
      <rPr>
        <sz val="12"/>
        <color theme="1"/>
        <rFont val="Calibri"/>
        <family val="2"/>
        <scheme val="minor"/>
      </rPr>
      <t xml:space="preserve">
Provision of active furnishing to discourage sedentary behaviour (e.g. standing tables and height-adjustable desk), decentralised common areas, standing meeting rooms etc. (at least 100% of all workstations)</t>
    </r>
  </si>
  <si>
    <t>Coverage of IT equipment &lt;50%</t>
  </si>
  <si>
    <t>List the firm(s)</t>
  </si>
  <si>
    <t>Note: Coverage of IT equipment refers to the percentage of the total number of IT equipment or the total rated power of the IT equipment in a DC that meets the above criteria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</si>
</sst>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_ ;[Red]\-#,##0\ "/>
  </numFmts>
  <fonts count="37" x14ac:knownFonts="1">
    <font>
      <sz val="11"/>
      <color theme="1"/>
      <name val="Calibri"/>
      <family val="2"/>
      <scheme val="minor"/>
    </font>
    <font>
      <sz val="11"/>
      <color theme="1"/>
      <name val="Calibri"/>
      <family val="2"/>
      <scheme val="minor"/>
    </font>
    <font>
      <b/>
      <sz val="11"/>
      <color theme="1"/>
      <name val="Calibri"/>
      <family val="2"/>
      <scheme val="minor"/>
    </font>
    <font>
      <b/>
      <sz val="24"/>
      <color theme="1"/>
      <name val="Calibri"/>
      <family val="2"/>
      <scheme val="minor"/>
    </font>
    <font>
      <sz val="12"/>
      <color theme="1"/>
      <name val="Calibri"/>
      <family val="2"/>
      <scheme val="minor"/>
    </font>
    <font>
      <b/>
      <sz val="12"/>
      <color theme="1"/>
      <name val="Calibri"/>
      <family val="2"/>
      <scheme val="minor"/>
    </font>
    <font>
      <b/>
      <sz val="14"/>
      <color theme="1"/>
      <name val="Calibri"/>
      <family val="2"/>
      <scheme val="minor"/>
    </font>
    <font>
      <sz val="14"/>
      <color theme="1"/>
      <name val="Calibri"/>
      <family val="2"/>
      <scheme val="minor"/>
    </font>
    <font>
      <b/>
      <sz val="14"/>
      <color theme="0"/>
      <name val="Calibri"/>
      <family val="2"/>
      <scheme val="minor"/>
    </font>
    <font>
      <b/>
      <sz val="12"/>
      <color rgb="FF000000"/>
      <name val="Calibri"/>
      <family val="2"/>
      <scheme val="minor"/>
    </font>
    <font>
      <b/>
      <sz val="12"/>
      <color theme="0"/>
      <name val="Calibri"/>
      <family val="2"/>
      <scheme val="minor"/>
    </font>
    <font>
      <b/>
      <sz val="12"/>
      <name val="Calibri"/>
      <family val="2"/>
      <scheme val="minor"/>
    </font>
    <font>
      <sz val="12"/>
      <name val="Calibri"/>
      <family val="2"/>
      <scheme val="minor"/>
    </font>
    <font>
      <b/>
      <sz val="16"/>
      <color theme="0"/>
      <name val="Calibri"/>
      <family val="2"/>
      <scheme val="minor"/>
    </font>
    <font>
      <b/>
      <sz val="16"/>
      <color rgb="FF000000"/>
      <name val="Calibri"/>
      <family val="2"/>
      <scheme val="minor"/>
    </font>
    <font>
      <sz val="11"/>
      <name val="Calibri"/>
      <family val="2"/>
      <scheme val="minor"/>
    </font>
    <font>
      <b/>
      <sz val="16"/>
      <name val="Calibri"/>
      <family val="2"/>
      <scheme val="minor"/>
    </font>
    <font>
      <i/>
      <sz val="12"/>
      <color theme="1"/>
      <name val="Calibri"/>
      <family val="2"/>
      <scheme val="minor"/>
    </font>
    <font>
      <sz val="12"/>
      <color theme="1"/>
      <name val="Calibri"/>
      <family val="2"/>
    </font>
    <font>
      <b/>
      <sz val="14"/>
      <name val="Calibri"/>
      <family val="2"/>
      <scheme val="minor"/>
    </font>
    <font>
      <sz val="10"/>
      <name val="Arial"/>
      <family val="2"/>
    </font>
    <font>
      <sz val="11"/>
      <color theme="1"/>
      <name val="Arial"/>
      <family val="2"/>
    </font>
    <font>
      <b/>
      <u/>
      <sz val="16"/>
      <color theme="1"/>
      <name val="Arial"/>
      <family val="2"/>
    </font>
    <font>
      <b/>
      <u/>
      <sz val="12"/>
      <color theme="1"/>
      <name val="Arial"/>
      <family val="2"/>
    </font>
    <font>
      <b/>
      <sz val="11"/>
      <color theme="1"/>
      <name val="Arial"/>
      <family val="2"/>
    </font>
    <font>
      <b/>
      <u/>
      <sz val="11"/>
      <color theme="1"/>
      <name val="Arial"/>
      <family val="2"/>
    </font>
    <font>
      <vertAlign val="superscript"/>
      <sz val="11"/>
      <color theme="1"/>
      <name val="Arial"/>
      <family val="2"/>
    </font>
    <font>
      <b/>
      <sz val="11"/>
      <name val="Arial"/>
      <family val="2"/>
    </font>
    <font>
      <sz val="11"/>
      <name val="Arial"/>
      <family val="2"/>
    </font>
    <font>
      <u/>
      <sz val="12"/>
      <name val="Calibri"/>
      <family val="2"/>
      <scheme val="minor"/>
    </font>
    <font>
      <vertAlign val="superscript"/>
      <sz val="12"/>
      <name val="Calibri"/>
      <family val="2"/>
      <scheme val="minor"/>
    </font>
    <font>
      <sz val="12"/>
      <name val="Calibri"/>
      <family val="2"/>
    </font>
    <font>
      <b/>
      <vertAlign val="superscript"/>
      <sz val="12"/>
      <name val="Calibri"/>
      <family val="2"/>
      <scheme val="minor"/>
    </font>
    <font>
      <sz val="12"/>
      <color theme="1"/>
      <name val="Aptos Narrow"/>
      <family val="2"/>
    </font>
    <font>
      <sz val="8"/>
      <name val="Calibri"/>
      <family val="2"/>
      <scheme val="minor"/>
    </font>
    <font>
      <sz val="11"/>
      <color theme="1"/>
      <name val="Aptos Narrow"/>
      <family val="2"/>
    </font>
    <font>
      <b/>
      <sz val="11"/>
      <color theme="0"/>
      <name val="Calibri"/>
      <family val="2"/>
      <scheme val="minor"/>
    </font>
  </fonts>
  <fills count="34">
    <fill>
      <patternFill patternType="none"/>
    </fill>
    <fill>
      <patternFill patternType="gray125"/>
    </fill>
    <fill>
      <patternFill patternType="solid">
        <fgColor theme="0" tint="-0.14999847407452621"/>
        <bgColor indexed="64"/>
      </patternFill>
    </fill>
    <fill>
      <patternFill patternType="solid">
        <fgColor rgb="FF00B050"/>
        <bgColor indexed="64"/>
      </patternFill>
    </fill>
    <fill>
      <patternFill patternType="solid">
        <fgColor rgb="FF002060"/>
        <bgColor indexed="64"/>
      </patternFill>
    </fill>
    <fill>
      <patternFill patternType="solid">
        <fgColor rgb="FF00B0F0"/>
        <bgColor indexed="64"/>
      </patternFill>
    </fill>
    <fill>
      <patternFill patternType="solid">
        <fgColor rgb="FFFFC000"/>
        <bgColor indexed="64"/>
      </patternFill>
    </fill>
    <fill>
      <patternFill patternType="solid">
        <fgColor rgb="FF7030A0"/>
        <bgColor indexed="64"/>
      </patternFill>
    </fill>
    <fill>
      <patternFill patternType="solid">
        <fgColor theme="7" tint="0.7999816888943144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CCFF33"/>
        <bgColor indexed="64"/>
      </patternFill>
    </fill>
    <fill>
      <patternFill patternType="solid">
        <fgColor theme="0"/>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tint="-0.249977111117893"/>
        <bgColor indexed="64"/>
      </patternFill>
    </fill>
    <fill>
      <patternFill patternType="solid">
        <fgColor rgb="FF66FFFF"/>
        <bgColor indexed="64"/>
      </patternFill>
    </fill>
    <fill>
      <patternFill patternType="solid">
        <fgColor rgb="FFCCFFFF"/>
        <bgColor indexed="64"/>
      </patternFill>
    </fill>
    <fill>
      <patternFill patternType="solid">
        <fgColor rgb="FF66FFCC"/>
        <bgColor indexed="64"/>
      </patternFill>
    </fill>
    <fill>
      <patternFill patternType="solid">
        <fgColor rgb="FFFFFFCC"/>
        <bgColor indexed="64"/>
      </patternFill>
    </fill>
    <fill>
      <patternFill patternType="solid">
        <fgColor theme="7" tint="0.59999389629810485"/>
        <bgColor indexed="64"/>
      </patternFill>
    </fill>
    <fill>
      <patternFill patternType="solid">
        <fgColor rgb="FF9966FF"/>
        <bgColor indexed="64"/>
      </patternFill>
    </fill>
    <fill>
      <patternFill patternType="solid">
        <fgColor rgb="FFCCCCFF"/>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8"/>
        <bgColor indexed="64"/>
      </patternFill>
    </fill>
    <fill>
      <patternFill patternType="solid">
        <fgColor theme="8" tint="0.39997558519241921"/>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1" tint="0.499984740745262"/>
        <bgColor indexed="64"/>
      </patternFill>
    </fill>
    <fill>
      <patternFill patternType="solid">
        <fgColor theme="4"/>
        <bgColor theme="4"/>
      </patternFill>
    </fill>
    <fill>
      <patternFill patternType="solid">
        <fgColor theme="1" tint="4.9989318521683403E-2"/>
        <bgColor indexed="64"/>
      </patternFill>
    </fill>
    <fill>
      <patternFill patternType="solid">
        <fgColor theme="2" tint="-9.9978637043366805E-2"/>
        <bgColor indexed="64"/>
      </patternFill>
    </fill>
    <fill>
      <patternFill patternType="solid">
        <fgColor theme="2" tint="-0.89999084444715716"/>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theme="4" tint="0.39997558519241921"/>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4">
    <xf numFmtId="0" fontId="0" fillId="0" borderId="0"/>
    <xf numFmtId="0" fontId="1" fillId="0" borderId="0"/>
    <xf numFmtId="0" fontId="1" fillId="0" borderId="0"/>
    <xf numFmtId="0" fontId="20" fillId="0" borderId="0"/>
  </cellStyleXfs>
  <cellXfs count="395">
    <xf numFmtId="0" fontId="0" fillId="0" borderId="0" xfId="0"/>
    <xf numFmtId="0" fontId="11" fillId="10" borderId="1" xfId="0" applyFont="1" applyFill="1" applyBorder="1" applyAlignment="1" applyProtection="1">
      <alignment horizontal="center" vertical="center"/>
      <protection locked="0"/>
    </xf>
    <xf numFmtId="0" fontId="11" fillId="8" borderId="1" xfId="0" applyFont="1" applyFill="1" applyBorder="1" applyAlignment="1" applyProtection="1">
      <alignment horizontal="center" vertical="center"/>
      <protection locked="0"/>
    </xf>
    <xf numFmtId="0" fontId="11" fillId="24" borderId="1" xfId="0" applyFont="1" applyFill="1" applyBorder="1" applyAlignment="1" applyProtection="1">
      <alignment horizontal="center" vertical="center"/>
      <protection locked="0"/>
    </xf>
    <xf numFmtId="0" fontId="0" fillId="0" borderId="0" xfId="0" applyAlignment="1">
      <alignment horizontal="center"/>
    </xf>
    <xf numFmtId="0" fontId="0" fillId="0" borderId="0" xfId="0" applyProtection="1">
      <protection locked="0"/>
    </xf>
    <xf numFmtId="0" fontId="5" fillId="2" borderId="1" xfId="0" applyFont="1" applyFill="1" applyBorder="1" applyAlignment="1">
      <alignment horizontal="center" vertical="center" wrapText="1"/>
    </xf>
    <xf numFmtId="0" fontId="4" fillId="0" borderId="1" xfId="1" applyFont="1" applyBorder="1" applyAlignment="1">
      <alignment horizontal="justify" vertical="center" wrapText="1"/>
    </xf>
    <xf numFmtId="0" fontId="11" fillId="0" borderId="1" xfId="0" applyFont="1" applyBorder="1" applyAlignment="1">
      <alignment horizontal="center" vertical="center"/>
    </xf>
    <xf numFmtId="0" fontId="0" fillId="0" borderId="1" xfId="0" applyBorder="1" applyAlignment="1">
      <alignment horizontal="center" vertical="center"/>
    </xf>
    <xf numFmtId="0" fontId="4" fillId="0" borderId="1" xfId="0" applyFont="1" applyBorder="1"/>
    <xf numFmtId="0" fontId="4" fillId="0" borderId="1" xfId="0" applyFont="1" applyBorder="1" applyAlignment="1">
      <alignment vertical="center"/>
    </xf>
    <xf numFmtId="0" fontId="4" fillId="0" borderId="1" xfId="0" applyFont="1" applyBorder="1" applyAlignment="1">
      <alignment vertical="center" wrapText="1"/>
    </xf>
    <xf numFmtId="0" fontId="9" fillId="2" borderId="1" xfId="0" applyFont="1" applyFill="1" applyBorder="1" applyAlignment="1">
      <alignment horizontal="center" vertical="center" wrapText="1"/>
    </xf>
    <xf numFmtId="0" fontId="0" fillId="0" borderId="0" xfId="0" applyAlignment="1">
      <alignment horizontal="center" vertical="center"/>
    </xf>
    <xf numFmtId="0" fontId="11" fillId="10" borderId="1" xfId="2" applyFont="1" applyFill="1" applyBorder="1" applyAlignment="1" applyProtection="1">
      <alignment horizontal="center" vertical="center" wrapText="1"/>
      <protection locked="0"/>
    </xf>
    <xf numFmtId="0" fontId="4" fillId="14" borderId="1" xfId="0" applyFont="1" applyFill="1" applyBorder="1" applyAlignment="1" applyProtection="1">
      <alignment horizontal="center" vertical="center"/>
      <protection locked="0"/>
    </xf>
    <xf numFmtId="0" fontId="5" fillId="2" borderId="1" xfId="0" applyFont="1" applyFill="1" applyBorder="1" applyAlignment="1">
      <alignment horizontal="center" vertical="center"/>
    </xf>
    <xf numFmtId="0" fontId="0" fillId="0" borderId="1" xfId="0" applyBorder="1" applyAlignment="1">
      <alignment horizontal="center"/>
    </xf>
    <xf numFmtId="0" fontId="16" fillId="25" borderId="1" xfId="0" applyFont="1" applyFill="1" applyBorder="1" applyAlignment="1">
      <alignment vertical="center"/>
    </xf>
    <xf numFmtId="0" fontId="11" fillId="25" borderId="1" xfId="0" applyFont="1" applyFill="1" applyBorder="1" applyAlignment="1">
      <alignment vertical="center"/>
    </xf>
    <xf numFmtId="0" fontId="10" fillId="25" borderId="1" xfId="0" applyFont="1" applyFill="1" applyBorder="1" applyAlignment="1">
      <alignment vertical="center"/>
    </xf>
    <xf numFmtId="0" fontId="4" fillId="26" borderId="1" xfId="2" applyFont="1" applyFill="1" applyBorder="1" applyAlignment="1">
      <alignment horizontal="center" vertical="center"/>
    </xf>
    <xf numFmtId="2" fontId="5" fillId="26" borderId="1" xfId="0" applyNumberFormat="1" applyFont="1" applyFill="1" applyBorder="1" applyAlignment="1">
      <alignment horizontal="center" vertical="top"/>
    </xf>
    <xf numFmtId="0" fontId="4" fillId="26" borderId="1" xfId="0" applyFont="1" applyFill="1" applyBorder="1" applyAlignment="1">
      <alignment horizontal="center" vertical="top"/>
    </xf>
    <xf numFmtId="0" fontId="16" fillId="25" borderId="1" xfId="0" applyFont="1" applyFill="1" applyBorder="1" applyAlignment="1">
      <alignment horizontal="center" vertical="center"/>
    </xf>
    <xf numFmtId="2" fontId="16" fillId="25" borderId="1" xfId="0" applyNumberFormat="1" applyFont="1" applyFill="1" applyBorder="1" applyAlignment="1">
      <alignment horizontal="center" vertical="center"/>
    </xf>
    <xf numFmtId="0" fontId="11" fillId="25" borderId="1" xfId="0" applyFont="1" applyFill="1" applyBorder="1" applyAlignment="1">
      <alignment horizontal="center" vertical="center"/>
    </xf>
    <xf numFmtId="0" fontId="11" fillId="10" borderId="1" xfId="0" applyFont="1" applyFill="1" applyBorder="1" applyAlignment="1" applyProtection="1">
      <alignment horizontal="center" vertical="center" wrapText="1"/>
      <protection locked="0"/>
    </xf>
    <xf numFmtId="0" fontId="4" fillId="10" borderId="1" xfId="0" applyFont="1" applyFill="1" applyBorder="1" applyAlignment="1" applyProtection="1">
      <alignment horizontal="center" vertical="center"/>
      <protection locked="0"/>
    </xf>
    <xf numFmtId="0" fontId="11" fillId="28" borderId="1" xfId="0" applyFont="1" applyFill="1" applyBorder="1" applyAlignment="1" applyProtection="1">
      <alignment horizontal="center" vertical="center"/>
      <protection locked="0"/>
    </xf>
    <xf numFmtId="2" fontId="0" fillId="0" borderId="1" xfId="0" applyNumberFormat="1" applyBorder="1" applyAlignment="1">
      <alignment horizontal="center"/>
    </xf>
    <xf numFmtId="0" fontId="0" fillId="24" borderId="1" xfId="0" applyFill="1" applyBorder="1" applyProtection="1">
      <protection locked="0"/>
    </xf>
    <xf numFmtId="0" fontId="0" fillId="24" borderId="1" xfId="0" applyFill="1" applyBorder="1" applyAlignment="1" applyProtection="1">
      <alignment horizontal="center"/>
      <protection locked="0"/>
    </xf>
    <xf numFmtId="0" fontId="3" fillId="0" borderId="0" xfId="0" applyFont="1"/>
    <xf numFmtId="0" fontId="2" fillId="0" borderId="0" xfId="0" applyFont="1"/>
    <xf numFmtId="0" fontId="7" fillId="0" borderId="0" xfId="0" applyFont="1"/>
    <xf numFmtId="0" fontId="6" fillId="2" borderId="1" xfId="0" applyFont="1" applyFill="1" applyBorder="1" applyAlignment="1">
      <alignment horizontal="center"/>
    </xf>
    <xf numFmtId="0" fontId="8" fillId="25" borderId="1" xfId="0" applyFont="1" applyFill="1" applyBorder="1" applyAlignment="1">
      <alignment horizontal="center" vertical="center"/>
    </xf>
    <xf numFmtId="2" fontId="7" fillId="0" borderId="1" xfId="0" applyNumberFormat="1" applyFont="1" applyBorder="1" applyAlignment="1">
      <alignment horizontal="center"/>
    </xf>
    <xf numFmtId="0" fontId="8" fillId="4" borderId="1" xfId="0" applyFont="1" applyFill="1" applyBorder="1" applyAlignment="1">
      <alignment horizontal="center" vertical="center"/>
    </xf>
    <xf numFmtId="0" fontId="8" fillId="3" borderId="1" xfId="0" applyFont="1" applyFill="1" applyBorder="1" applyAlignment="1">
      <alignment horizontal="center" vertical="center"/>
    </xf>
    <xf numFmtId="0" fontId="8" fillId="5" borderId="1" xfId="0" applyFont="1" applyFill="1" applyBorder="1" applyAlignment="1">
      <alignment horizontal="center" vertical="center"/>
    </xf>
    <xf numFmtId="0" fontId="8" fillId="6" borderId="1" xfId="0" applyFont="1" applyFill="1" applyBorder="1" applyAlignment="1">
      <alignment horizontal="center" vertical="center"/>
    </xf>
    <xf numFmtId="0" fontId="8" fillId="7" borderId="1" xfId="0" applyFont="1" applyFill="1" applyBorder="1" applyAlignment="1">
      <alignment horizontal="center" vertical="center"/>
    </xf>
    <xf numFmtId="0" fontId="6" fillId="2" borderId="1" xfId="0" applyFont="1" applyFill="1" applyBorder="1" applyAlignment="1">
      <alignment horizontal="center" vertical="center"/>
    </xf>
    <xf numFmtId="0" fontId="23" fillId="0" borderId="0" xfId="0" applyFont="1"/>
    <xf numFmtId="0" fontId="21" fillId="0" borderId="0" xfId="0" applyFont="1"/>
    <xf numFmtId="0" fontId="25" fillId="0" borderId="0" xfId="0" applyFont="1"/>
    <xf numFmtId="0" fontId="0" fillId="0" borderId="0" xfId="0" applyAlignment="1">
      <alignment vertical="center"/>
    </xf>
    <xf numFmtId="0" fontId="27" fillId="0" borderId="1" xfId="0" applyFont="1" applyBorder="1" applyAlignment="1">
      <alignment horizontal="center" vertical="center" wrapText="1"/>
    </xf>
    <xf numFmtId="0" fontId="0" fillId="0" borderId="0" xfId="0" applyAlignment="1">
      <alignment wrapText="1"/>
    </xf>
    <xf numFmtId="0" fontId="27" fillId="24" borderId="1" xfId="0" applyFont="1" applyFill="1" applyBorder="1" applyAlignment="1" applyProtection="1">
      <alignment horizontal="center" vertical="center" wrapText="1"/>
      <protection locked="0"/>
    </xf>
    <xf numFmtId="0" fontId="27" fillId="24" borderId="1" xfId="0" applyFont="1" applyFill="1" applyBorder="1" applyAlignment="1" applyProtection="1">
      <alignment horizontal="left" vertical="center" wrapText="1"/>
      <protection locked="0"/>
    </xf>
    <xf numFmtId="0" fontId="27" fillId="24" borderId="1" xfId="0" applyFont="1" applyFill="1" applyBorder="1" applyAlignment="1" applyProtection="1">
      <alignment vertical="center" wrapText="1"/>
      <protection locked="0"/>
    </xf>
    <xf numFmtId="165" fontId="27" fillId="24" borderId="1" xfId="0" applyNumberFormat="1" applyFont="1" applyFill="1" applyBorder="1" applyAlignment="1" applyProtection="1">
      <alignment vertical="center" wrapText="1"/>
      <protection locked="0"/>
    </xf>
    <xf numFmtId="164" fontId="27" fillId="24" borderId="1" xfId="0" applyNumberFormat="1" applyFont="1" applyFill="1" applyBorder="1" applyAlignment="1" applyProtection="1">
      <alignment vertical="center" wrapText="1"/>
      <protection locked="0"/>
    </xf>
    <xf numFmtId="0" fontId="2" fillId="24" borderId="1" xfId="0" applyFont="1" applyFill="1" applyBorder="1" applyProtection="1">
      <protection locked="0"/>
    </xf>
    <xf numFmtId="0" fontId="4" fillId="0" borderId="1" xfId="0" applyFont="1" applyBorder="1" applyAlignment="1">
      <alignment horizontal="center" vertical="top"/>
    </xf>
    <xf numFmtId="0" fontId="4" fillId="2" borderId="1" xfId="0" applyFont="1" applyFill="1" applyBorder="1" applyAlignment="1">
      <alignment horizontal="center" vertical="center"/>
    </xf>
    <xf numFmtId="0" fontId="13" fillId="4" borderId="1" xfId="0" applyFont="1" applyFill="1" applyBorder="1" applyAlignment="1">
      <alignment horizontal="center" vertical="center" wrapText="1"/>
    </xf>
    <xf numFmtId="2" fontId="13" fillId="4" borderId="1" xfId="0" applyNumberFormat="1" applyFont="1" applyFill="1" applyBorder="1" applyAlignment="1">
      <alignment horizontal="center" vertical="center" wrapText="1"/>
    </xf>
    <xf numFmtId="0" fontId="10" fillId="4" borderId="1" xfId="0" quotePrefix="1" applyFont="1" applyFill="1" applyBorder="1" applyAlignment="1">
      <alignment horizontal="center" vertical="center"/>
    </xf>
    <xf numFmtId="0" fontId="10" fillId="15" borderId="1" xfId="0" applyFont="1" applyFill="1" applyBorder="1" applyAlignment="1">
      <alignment horizontal="center" vertical="top"/>
    </xf>
    <xf numFmtId="0" fontId="10" fillId="15" borderId="1" xfId="0" applyFont="1" applyFill="1" applyBorder="1" applyAlignment="1">
      <alignment horizontal="center" vertical="center"/>
    </xf>
    <xf numFmtId="2" fontId="10" fillId="15" borderId="1" xfId="0" applyNumberFormat="1" applyFont="1" applyFill="1" applyBorder="1" applyAlignment="1">
      <alignment horizontal="center" vertical="top"/>
    </xf>
    <xf numFmtId="0" fontId="4" fillId="14" borderId="1" xfId="0" applyFont="1" applyFill="1" applyBorder="1" applyAlignment="1">
      <alignment horizontal="center" vertical="center"/>
    </xf>
    <xf numFmtId="0" fontId="5" fillId="0" borderId="1" xfId="0" applyFont="1" applyBorder="1" applyAlignment="1">
      <alignment horizontal="center" vertical="center"/>
    </xf>
    <xf numFmtId="2" fontId="5" fillId="0" borderId="2" xfId="0" applyNumberFormat="1" applyFont="1" applyBorder="1" applyAlignment="1">
      <alignment horizontal="center" vertical="center" wrapText="1"/>
    </xf>
    <xf numFmtId="0" fontId="4" fillId="0" borderId="2" xfId="0" applyFont="1" applyBorder="1" applyAlignment="1">
      <alignment horizontal="center" vertical="center"/>
    </xf>
    <xf numFmtId="0" fontId="4" fillId="29" borderId="1" xfId="0" applyFont="1" applyFill="1" applyBorder="1" applyAlignment="1">
      <alignment horizontal="center" vertical="center"/>
    </xf>
    <xf numFmtId="0" fontId="5" fillId="29" borderId="1" xfId="0" applyFont="1" applyFill="1" applyBorder="1" applyAlignment="1">
      <alignment horizontal="center" vertical="center"/>
    </xf>
    <xf numFmtId="0" fontId="4" fillId="0" borderId="1" xfId="0" applyFont="1" applyBorder="1" applyAlignment="1">
      <alignment horizontal="center" vertical="center" wrapText="1"/>
    </xf>
    <xf numFmtId="2" fontId="5" fillId="0" borderId="1" xfId="0" applyNumberFormat="1" applyFont="1" applyBorder="1" applyAlignment="1">
      <alignment horizontal="center" vertical="center"/>
    </xf>
    <xf numFmtId="0" fontId="4" fillId="0" borderId="1" xfId="0" applyFont="1" applyBorder="1" applyAlignment="1">
      <alignment horizontal="center" vertical="center"/>
    </xf>
    <xf numFmtId="2" fontId="4" fillId="0" borderId="1" xfId="0" applyNumberFormat="1" applyFont="1" applyBorder="1" applyAlignment="1">
      <alignment vertical="center"/>
    </xf>
    <xf numFmtId="2" fontId="5" fillId="0" borderId="2" xfId="0" applyNumberFormat="1" applyFont="1" applyBorder="1" applyAlignment="1">
      <alignment horizontal="center" vertical="center"/>
    </xf>
    <xf numFmtId="0" fontId="5" fillId="0" borderId="1" xfId="0" applyFont="1" applyBorder="1" applyAlignment="1">
      <alignment horizontal="center" vertical="center" wrapText="1"/>
    </xf>
    <xf numFmtId="2" fontId="11" fillId="0" borderId="1" xfId="0" applyNumberFormat="1" applyFont="1" applyBorder="1" applyAlignment="1">
      <alignment horizontal="center" vertical="center" wrapText="1"/>
    </xf>
    <xf numFmtId="0" fontId="4" fillId="5" borderId="1" xfId="2" applyFont="1" applyFill="1" applyBorder="1" applyAlignment="1">
      <alignment horizontal="center" vertical="center"/>
    </xf>
    <xf numFmtId="2" fontId="5" fillId="5" borderId="1" xfId="0" applyNumberFormat="1" applyFont="1" applyFill="1" applyBorder="1" applyAlignment="1">
      <alignment horizontal="center" vertical="top"/>
    </xf>
    <xf numFmtId="0" fontId="4" fillId="5" borderId="1" xfId="0" applyFont="1" applyFill="1" applyBorder="1" applyAlignment="1">
      <alignment horizontal="center" vertical="top"/>
    </xf>
    <xf numFmtId="2" fontId="5" fillId="0" borderId="1" xfId="0" applyNumberFormat="1" applyFont="1" applyBorder="1" applyAlignment="1">
      <alignment horizontal="center" vertical="center" wrapText="1"/>
    </xf>
    <xf numFmtId="0" fontId="4" fillId="27" borderId="1" xfId="0" applyFont="1" applyFill="1" applyBorder="1" applyAlignment="1">
      <alignment horizontal="center" vertical="center" wrapText="1"/>
    </xf>
    <xf numFmtId="0" fontId="4" fillId="0" borderId="14" xfId="0" applyFont="1" applyBorder="1" applyAlignment="1">
      <alignment vertical="top" wrapText="1"/>
    </xf>
    <xf numFmtId="0" fontId="4" fillId="0" borderId="0" xfId="0" applyFont="1" applyAlignment="1">
      <alignment vertical="top" wrapText="1"/>
    </xf>
    <xf numFmtId="0" fontId="4" fillId="0" borderId="15" xfId="0" applyFont="1" applyBorder="1" applyAlignment="1">
      <alignment vertical="top" wrapText="1"/>
    </xf>
    <xf numFmtId="0" fontId="4" fillId="0" borderId="11" xfId="0" applyFont="1" applyBorder="1" applyAlignment="1">
      <alignment vertical="top" wrapText="1"/>
    </xf>
    <xf numFmtId="0" fontId="4" fillId="0" borderId="12" xfId="0" applyFont="1" applyBorder="1" applyAlignment="1">
      <alignment vertical="top" wrapText="1"/>
    </xf>
    <xf numFmtId="0" fontId="4" fillId="0" borderId="8" xfId="0" applyFont="1" applyBorder="1" applyAlignment="1">
      <alignment vertical="top" wrapText="1"/>
    </xf>
    <xf numFmtId="0" fontId="12" fillId="0" borderId="2" xfId="0" applyFont="1" applyBorder="1" applyAlignment="1">
      <alignment horizontal="left" vertical="top" wrapText="1"/>
    </xf>
    <xf numFmtId="0" fontId="12" fillId="0" borderId="1" xfId="0" applyFont="1" applyBorder="1" applyAlignment="1">
      <alignment horizontal="left" vertical="top"/>
    </xf>
    <xf numFmtId="0" fontId="12" fillId="0" borderId="11" xfId="0" applyFont="1" applyBorder="1" applyAlignment="1">
      <alignment horizontal="center" vertical="top"/>
    </xf>
    <xf numFmtId="0" fontId="0" fillId="29" borderId="1" xfId="0" applyFill="1" applyBorder="1" applyAlignment="1">
      <alignment horizontal="center" vertical="center"/>
    </xf>
    <xf numFmtId="2" fontId="2" fillId="29" borderId="1" xfId="0" applyNumberFormat="1" applyFont="1" applyFill="1" applyBorder="1" applyAlignment="1">
      <alignment horizontal="center" vertical="center"/>
    </xf>
    <xf numFmtId="0" fontId="5" fillId="29" borderId="1" xfId="0" applyFont="1" applyFill="1" applyBorder="1" applyAlignment="1">
      <alignment horizontal="center" vertical="top"/>
    </xf>
    <xf numFmtId="0" fontId="5" fillId="24" borderId="1" xfId="0" applyFont="1" applyFill="1" applyBorder="1" applyAlignment="1" applyProtection="1">
      <alignment horizontal="center" vertical="top"/>
      <protection locked="0"/>
    </xf>
    <xf numFmtId="0" fontId="4" fillId="24" borderId="1" xfId="0" applyFont="1" applyFill="1" applyBorder="1" applyAlignment="1" applyProtection="1">
      <alignment vertical="center"/>
      <protection locked="0"/>
    </xf>
    <xf numFmtId="0" fontId="4" fillId="24" borderId="1" xfId="0" applyFont="1" applyFill="1" applyBorder="1" applyAlignment="1" applyProtection="1">
      <alignment horizontal="center" vertical="top"/>
      <protection locked="0"/>
    </xf>
    <xf numFmtId="0" fontId="12" fillId="0" borderId="7" xfId="0" applyFont="1" applyBorder="1" applyAlignment="1">
      <alignment horizontal="left" vertical="top" wrapText="1"/>
    </xf>
    <xf numFmtId="0" fontId="4" fillId="24" borderId="3" xfId="0" applyFont="1" applyFill="1" applyBorder="1" applyAlignment="1" applyProtection="1">
      <alignment vertical="center"/>
      <protection locked="0"/>
    </xf>
    <xf numFmtId="0" fontId="17" fillId="24" borderId="1" xfId="0" applyFont="1" applyFill="1" applyBorder="1" applyAlignment="1" applyProtection="1">
      <alignment vertical="center"/>
      <protection locked="0"/>
    </xf>
    <xf numFmtId="0" fontId="4" fillId="24" borderId="1" xfId="0" applyFont="1" applyFill="1" applyBorder="1" applyAlignment="1" applyProtection="1">
      <alignment horizontal="center" vertical="center"/>
      <protection locked="0"/>
    </xf>
    <xf numFmtId="0" fontId="14" fillId="3" borderId="1" xfId="0" applyFont="1" applyFill="1" applyBorder="1" applyAlignment="1">
      <alignment horizontal="center" vertical="center" wrapText="1"/>
    </xf>
    <xf numFmtId="2" fontId="5" fillId="3" borderId="1" xfId="0" applyNumberFormat="1" applyFont="1" applyFill="1" applyBorder="1" applyAlignment="1">
      <alignment horizontal="center" vertical="center" wrapText="1"/>
    </xf>
    <xf numFmtId="0" fontId="5" fillId="3" borderId="1" xfId="0" quotePrefix="1" applyFont="1" applyFill="1" applyBorder="1" applyAlignment="1">
      <alignment horizontal="center" vertical="center"/>
    </xf>
    <xf numFmtId="0" fontId="5" fillId="9" borderId="1" xfId="0" applyFont="1" applyFill="1" applyBorder="1" applyAlignment="1">
      <alignment horizontal="center" vertical="center"/>
    </xf>
    <xf numFmtId="0" fontId="11" fillId="9" borderId="1" xfId="0" applyFont="1" applyFill="1" applyBorder="1" applyAlignment="1">
      <alignment vertical="center" wrapText="1"/>
    </xf>
    <xf numFmtId="0" fontId="11" fillId="9" borderId="6" xfId="0" applyFont="1" applyFill="1" applyBorder="1" applyAlignment="1">
      <alignment vertical="center" wrapText="1"/>
    </xf>
    <xf numFmtId="0" fontId="11" fillId="9" borderId="8" xfId="0" applyFont="1" applyFill="1" applyBorder="1" applyAlignment="1">
      <alignment horizontal="left" vertical="center" wrapText="1"/>
    </xf>
    <xf numFmtId="0" fontId="5" fillId="9" borderId="1" xfId="1" applyFont="1" applyFill="1" applyBorder="1" applyAlignment="1">
      <alignment horizontal="center" vertical="center"/>
    </xf>
    <xf numFmtId="2" fontId="4" fillId="9" borderId="1" xfId="0" applyNumberFormat="1" applyFont="1" applyFill="1" applyBorder="1" applyAlignment="1">
      <alignment vertical="center"/>
    </xf>
    <xf numFmtId="0" fontId="4" fillId="9" borderId="1" xfId="0" applyFont="1" applyFill="1" applyBorder="1" applyAlignment="1">
      <alignment vertical="center"/>
    </xf>
    <xf numFmtId="0" fontId="4" fillId="0" borderId="7" xfId="2" applyFont="1" applyBorder="1" applyAlignment="1">
      <alignment vertical="center" wrapText="1"/>
    </xf>
    <xf numFmtId="0" fontId="0" fillId="0" borderId="1" xfId="0" applyBorder="1" applyAlignment="1">
      <alignment vertical="center"/>
    </xf>
    <xf numFmtId="0" fontId="2" fillId="0" borderId="1" xfId="0" applyFont="1" applyBorder="1" applyAlignment="1">
      <alignment horizontal="center" vertical="center"/>
    </xf>
    <xf numFmtId="0" fontId="4" fillId="0" borderId="1" xfId="2" applyFont="1" applyBorder="1" applyAlignment="1">
      <alignment vertical="center" wrapText="1"/>
    </xf>
    <xf numFmtId="0" fontId="4" fillId="0" borderId="1" xfId="2" applyFont="1" applyBorder="1" applyAlignment="1">
      <alignment horizontal="center" vertical="center"/>
    </xf>
    <xf numFmtId="1" fontId="11" fillId="0" borderId="1" xfId="1" applyNumberFormat="1" applyFont="1" applyBorder="1" applyAlignment="1">
      <alignment horizontal="center" vertical="center" wrapText="1"/>
    </xf>
    <xf numFmtId="0" fontId="4" fillId="0" borderId="7" xfId="2" applyFont="1" applyBorder="1" applyAlignment="1">
      <alignment horizontal="center" vertical="center" wrapText="1"/>
    </xf>
    <xf numFmtId="0" fontId="15" fillId="0" borderId="1" xfId="0" applyFont="1" applyBorder="1" applyAlignment="1">
      <alignment horizontal="center" vertical="center"/>
    </xf>
    <xf numFmtId="0" fontId="15" fillId="13" borderId="1" xfId="0" applyFont="1" applyFill="1" applyBorder="1" applyAlignment="1">
      <alignment horizontal="center" vertical="center" wrapText="1"/>
    </xf>
    <xf numFmtId="0" fontId="4" fillId="11" borderId="1" xfId="0" applyFont="1" applyFill="1" applyBorder="1" applyAlignment="1">
      <alignment horizontal="center" vertical="center"/>
    </xf>
    <xf numFmtId="2" fontId="11" fillId="11" borderId="2" xfId="0" applyNumberFormat="1" applyFont="1" applyFill="1" applyBorder="1" applyAlignment="1">
      <alignment horizontal="center" vertical="center" wrapText="1"/>
    </xf>
    <xf numFmtId="0" fontId="4" fillId="11" borderId="1" xfId="0" applyFont="1" applyFill="1" applyBorder="1" applyAlignment="1">
      <alignment vertical="center"/>
    </xf>
    <xf numFmtId="0" fontId="17" fillId="0" borderId="1" xfId="1" applyFont="1" applyBorder="1" applyAlignment="1">
      <alignment horizontal="justify" vertical="center" wrapText="1"/>
    </xf>
    <xf numFmtId="49" fontId="5" fillId="9" borderId="1" xfId="1" applyNumberFormat="1" applyFont="1" applyFill="1" applyBorder="1" applyAlignment="1">
      <alignment horizontal="center" vertical="center"/>
    </xf>
    <xf numFmtId="0" fontId="5" fillId="9" borderId="1" xfId="1" applyFont="1" applyFill="1" applyBorder="1" applyAlignment="1">
      <alignment vertical="center" wrapText="1"/>
    </xf>
    <xf numFmtId="0" fontId="5" fillId="9" borderId="6" xfId="1" applyFont="1" applyFill="1" applyBorder="1" applyAlignment="1">
      <alignment vertical="center" wrapText="1"/>
    </xf>
    <xf numFmtId="0" fontId="5" fillId="9" borderId="6" xfId="1" applyFont="1" applyFill="1" applyBorder="1" applyAlignment="1">
      <alignment horizontal="left" vertical="center" wrapText="1"/>
    </xf>
    <xf numFmtId="2" fontId="5" fillId="9" borderId="1" xfId="0" applyNumberFormat="1" applyFont="1" applyFill="1" applyBorder="1" applyAlignment="1">
      <alignment horizontal="center" vertical="center"/>
    </xf>
    <xf numFmtId="0" fontId="36" fillId="30" borderId="16" xfId="0" applyFont="1" applyFill="1" applyBorder="1"/>
    <xf numFmtId="0" fontId="36" fillId="30" borderId="17" xfId="0" applyFont="1" applyFill="1" applyBorder="1"/>
    <xf numFmtId="0" fontId="4" fillId="0" borderId="1" xfId="0" applyFont="1" applyBorder="1" applyAlignment="1">
      <alignment horizontal="justify" vertical="center" wrapText="1"/>
    </xf>
    <xf numFmtId="0" fontId="17" fillId="0" borderId="1" xfId="0" applyFont="1" applyBorder="1" applyAlignment="1">
      <alignment horizontal="justify" vertical="center" wrapText="1"/>
    </xf>
    <xf numFmtId="0" fontId="4" fillId="11" borderId="0" xfId="0" applyFont="1" applyFill="1" applyAlignment="1">
      <alignment vertical="center"/>
    </xf>
    <xf numFmtId="0" fontId="4" fillId="11" borderId="6" xfId="0" applyFont="1" applyFill="1" applyBorder="1" applyAlignment="1">
      <alignment vertical="center"/>
    </xf>
    <xf numFmtId="0" fontId="5" fillId="9" borderId="1" xfId="0" applyFont="1" applyFill="1" applyBorder="1" applyAlignment="1">
      <alignment vertical="center" wrapText="1"/>
    </xf>
    <xf numFmtId="0" fontId="5" fillId="9" borderId="6" xfId="0" applyFont="1" applyFill="1" applyBorder="1" applyAlignment="1">
      <alignment vertical="center" wrapText="1"/>
    </xf>
    <xf numFmtId="0" fontId="5" fillId="9" borderId="6" xfId="0" applyFont="1" applyFill="1" applyBorder="1" applyAlignment="1">
      <alignment horizontal="left" vertical="center" wrapText="1"/>
    </xf>
    <xf numFmtId="2" fontId="4" fillId="9" borderId="7" xfId="0" applyNumberFormat="1" applyFont="1" applyFill="1" applyBorder="1" applyAlignment="1">
      <alignment vertical="center"/>
    </xf>
    <xf numFmtId="0" fontId="4" fillId="0" borderId="3" xfId="0" applyFont="1" applyBorder="1" applyAlignment="1">
      <alignment vertical="center" wrapText="1"/>
    </xf>
    <xf numFmtId="2" fontId="11" fillId="11" borderId="1" xfId="0" applyNumberFormat="1" applyFont="1" applyFill="1" applyBorder="1" applyAlignment="1">
      <alignment horizontal="center" vertical="center" wrapText="1"/>
    </xf>
    <xf numFmtId="0" fontId="5" fillId="9" borderId="8" xfId="0" applyFont="1" applyFill="1" applyBorder="1" applyAlignment="1">
      <alignment vertical="center" wrapText="1"/>
    </xf>
    <xf numFmtId="0" fontId="5" fillId="9" borderId="8" xfId="0" applyFont="1" applyFill="1" applyBorder="1" applyAlignment="1">
      <alignment horizontal="left" vertical="center" wrapText="1"/>
    </xf>
    <xf numFmtId="2" fontId="4" fillId="9" borderId="11" xfId="0" applyNumberFormat="1" applyFont="1" applyFill="1" applyBorder="1" applyAlignment="1">
      <alignment vertical="center"/>
    </xf>
    <xf numFmtId="0" fontId="4" fillId="9" borderId="6" xfId="0" applyFont="1" applyFill="1" applyBorder="1" applyAlignment="1">
      <alignment vertical="center"/>
    </xf>
    <xf numFmtId="0" fontId="4" fillId="0" borderId="0" xfId="0" applyFont="1"/>
    <xf numFmtId="0" fontId="4" fillId="24" borderId="1" xfId="0" applyFont="1" applyFill="1" applyBorder="1" applyAlignment="1" applyProtection="1">
      <alignment vertical="top"/>
      <protection locked="0"/>
    </xf>
    <xf numFmtId="0" fontId="4" fillId="24" borderId="1" xfId="0" applyFont="1" applyFill="1" applyBorder="1" applyAlignment="1" applyProtection="1">
      <alignment vertical="center" wrapText="1"/>
      <protection locked="0"/>
    </xf>
    <xf numFmtId="0" fontId="16" fillId="5" borderId="1" xfId="0" applyFont="1" applyFill="1" applyBorder="1" applyAlignment="1">
      <alignment horizontal="center" vertical="center" wrapText="1"/>
    </xf>
    <xf numFmtId="2" fontId="16" fillId="5" borderId="1" xfId="0" applyNumberFormat="1" applyFont="1" applyFill="1" applyBorder="1" applyAlignment="1">
      <alignment horizontal="center" vertical="center" wrapText="1"/>
    </xf>
    <xf numFmtId="0" fontId="11" fillId="5" borderId="1" xfId="0" quotePrefix="1" applyFont="1" applyFill="1" applyBorder="1" applyAlignment="1">
      <alignment horizontal="center" vertical="center"/>
    </xf>
    <xf numFmtId="0" fontId="11" fillId="16" borderId="1" xfId="0" applyFont="1" applyFill="1" applyBorder="1" applyAlignment="1">
      <alignment horizontal="center" vertical="top"/>
    </xf>
    <xf numFmtId="0" fontId="11" fillId="16" borderId="1" xfId="0" applyFont="1" applyFill="1" applyBorder="1" applyAlignment="1">
      <alignment horizontal="center" vertical="center"/>
    </xf>
    <xf numFmtId="2" fontId="11" fillId="16" borderId="1" xfId="0" applyNumberFormat="1" applyFont="1" applyFill="1" applyBorder="1" applyAlignment="1">
      <alignment horizontal="center" vertical="center"/>
    </xf>
    <xf numFmtId="0" fontId="5" fillId="0" borderId="6" xfId="0" applyFont="1" applyBorder="1" applyAlignment="1">
      <alignment horizontal="center" vertical="center" wrapText="1"/>
    </xf>
    <xf numFmtId="2" fontId="5" fillId="18" borderId="1" xfId="0" applyNumberFormat="1" applyFont="1" applyFill="1" applyBorder="1" applyAlignment="1">
      <alignment horizontal="center" vertical="center"/>
    </xf>
    <xf numFmtId="0" fontId="4" fillId="18" borderId="1" xfId="0" applyFont="1" applyFill="1" applyBorder="1" applyAlignment="1">
      <alignment vertical="top"/>
    </xf>
    <xf numFmtId="0" fontId="11" fillId="17" borderId="1" xfId="0" applyFont="1" applyFill="1" applyBorder="1" applyAlignment="1">
      <alignment horizontal="center" vertical="top"/>
    </xf>
    <xf numFmtId="0" fontId="12" fillId="17" borderId="1" xfId="0" applyFont="1" applyFill="1" applyBorder="1" applyAlignment="1">
      <alignment horizontal="center" vertical="center"/>
    </xf>
    <xf numFmtId="0" fontId="11" fillId="17" borderId="6" xfId="0" applyFont="1" applyFill="1" applyBorder="1" applyAlignment="1">
      <alignment horizontal="center" vertical="top"/>
    </xf>
    <xf numFmtId="0" fontId="12" fillId="17" borderId="1" xfId="0" applyFont="1" applyFill="1" applyBorder="1" applyAlignment="1">
      <alignment horizontal="center" vertical="top"/>
    </xf>
    <xf numFmtId="2" fontId="11" fillId="17" borderId="1" xfId="0" applyNumberFormat="1" applyFont="1" applyFill="1" applyBorder="1" applyAlignment="1">
      <alignment horizontal="center" vertical="center"/>
    </xf>
    <xf numFmtId="0" fontId="11" fillId="0" borderId="1" xfId="0" applyFont="1" applyBorder="1" applyAlignment="1">
      <alignment horizontal="center" vertical="top"/>
    </xf>
    <xf numFmtId="0" fontId="0" fillId="0" borderId="0" xfId="0" applyAlignment="1">
      <alignment vertical="top"/>
    </xf>
    <xf numFmtId="0" fontId="2" fillId="0" borderId="0" xfId="0" applyFont="1" applyAlignment="1">
      <alignment horizontal="center" vertical="center"/>
    </xf>
    <xf numFmtId="164" fontId="5" fillId="24" borderId="1" xfId="0" applyNumberFormat="1" applyFont="1" applyFill="1" applyBorder="1" applyAlignment="1" applyProtection="1">
      <alignment horizontal="center" vertical="center"/>
      <protection locked="0"/>
    </xf>
    <xf numFmtId="0" fontId="14" fillId="6" borderId="1" xfId="0" applyFont="1" applyFill="1" applyBorder="1" applyAlignment="1">
      <alignment horizontal="center" vertical="center" wrapText="1"/>
    </xf>
    <xf numFmtId="2" fontId="5" fillId="6" borderId="1" xfId="0" applyNumberFormat="1" applyFont="1" applyFill="1" applyBorder="1" applyAlignment="1">
      <alignment horizontal="center" vertical="center" wrapText="1"/>
    </xf>
    <xf numFmtId="0" fontId="5" fillId="6" borderId="1" xfId="0" quotePrefix="1" applyFont="1" applyFill="1" applyBorder="1" applyAlignment="1">
      <alignment horizontal="center" vertical="center"/>
    </xf>
    <xf numFmtId="0" fontId="11" fillId="20" borderId="1" xfId="0" applyFont="1" applyFill="1" applyBorder="1" applyAlignment="1">
      <alignment horizontal="center" vertical="center"/>
    </xf>
    <xf numFmtId="0" fontId="11" fillId="20" borderId="1" xfId="0" applyFont="1" applyFill="1" applyBorder="1" applyAlignment="1">
      <alignment horizontal="center" vertical="center" wrapText="1"/>
    </xf>
    <xf numFmtId="164" fontId="11" fillId="20" borderId="1" xfId="0" applyNumberFormat="1" applyFont="1" applyFill="1" applyBorder="1" applyAlignment="1">
      <alignment horizontal="center" vertical="center"/>
    </xf>
    <xf numFmtId="0" fontId="5" fillId="19" borderId="1" xfId="0" applyFont="1" applyFill="1" applyBorder="1" applyAlignment="1">
      <alignment horizontal="center" vertical="center"/>
    </xf>
    <xf numFmtId="0" fontId="9" fillId="19" borderId="1" xfId="0" applyFont="1" applyFill="1" applyBorder="1" applyAlignment="1">
      <alignment vertical="center" wrapText="1"/>
    </xf>
    <xf numFmtId="0" fontId="9" fillId="19" borderId="1" xfId="0" applyFont="1" applyFill="1" applyBorder="1" applyAlignment="1">
      <alignment horizontal="left" vertical="center" wrapText="1"/>
    </xf>
    <xf numFmtId="0" fontId="4" fillId="19" borderId="1" xfId="0" applyFont="1" applyFill="1" applyBorder="1" applyAlignment="1">
      <alignment vertical="center"/>
    </xf>
    <xf numFmtId="164" fontId="4" fillId="19" borderId="1" xfId="0" applyNumberFormat="1" applyFont="1" applyFill="1" applyBorder="1" applyAlignment="1">
      <alignment vertical="center"/>
    </xf>
    <xf numFmtId="0" fontId="4" fillId="12" borderId="1" xfId="1" applyFont="1" applyFill="1" applyBorder="1" applyAlignment="1">
      <alignment horizontal="center" vertical="center" wrapText="1"/>
    </xf>
    <xf numFmtId="164" fontId="11" fillId="0" borderId="1" xfId="0" applyNumberFormat="1" applyFont="1" applyBorder="1" applyAlignment="1">
      <alignment horizontal="center" vertical="center" wrapText="1"/>
    </xf>
    <xf numFmtId="49" fontId="4" fillId="12" borderId="1" xfId="1" applyNumberFormat="1" applyFont="1" applyFill="1" applyBorder="1" applyAlignment="1">
      <alignment horizontal="center" vertical="center"/>
    </xf>
    <xf numFmtId="0" fontId="4" fillId="13" borderId="1" xfId="0" applyFont="1" applyFill="1" applyBorder="1" applyAlignment="1">
      <alignment horizontal="center" vertical="center"/>
    </xf>
    <xf numFmtId="164" fontId="11" fillId="13" borderId="1" xfId="0" applyNumberFormat="1" applyFont="1" applyFill="1" applyBorder="1" applyAlignment="1">
      <alignment horizontal="center" vertical="center" wrapText="1"/>
    </xf>
    <xf numFmtId="0" fontId="4" fillId="13" borderId="1" xfId="0" applyFont="1" applyFill="1" applyBorder="1" applyAlignment="1">
      <alignment vertical="center"/>
    </xf>
    <xf numFmtId="0" fontId="4" fillId="0" borderId="1" xfId="1" applyFont="1" applyBorder="1" applyAlignment="1">
      <alignment horizontal="left" vertical="center" wrapText="1"/>
    </xf>
    <xf numFmtId="0" fontId="4" fillId="0" borderId="1" xfId="0" applyFont="1" applyBorder="1" applyAlignment="1">
      <alignment horizontal="left" vertical="center" wrapText="1"/>
    </xf>
    <xf numFmtId="0" fontId="0" fillId="24" borderId="1" xfId="0" applyFill="1" applyBorder="1" applyAlignment="1" applyProtection="1">
      <alignment wrapText="1"/>
      <protection locked="0"/>
    </xf>
    <xf numFmtId="0" fontId="11" fillId="33" borderId="1" xfId="0" applyFont="1" applyFill="1" applyBorder="1" applyAlignment="1">
      <alignment horizontal="center" vertical="center"/>
    </xf>
    <xf numFmtId="0" fontId="0" fillId="33" borderId="1" xfId="0" applyFill="1" applyBorder="1" applyAlignment="1">
      <alignment horizontal="center"/>
    </xf>
    <xf numFmtId="0" fontId="0" fillId="33" borderId="1" xfId="0" applyFill="1" applyBorder="1"/>
    <xf numFmtId="0" fontId="4" fillId="31" borderId="1" xfId="0" applyFont="1" applyFill="1" applyBorder="1" applyAlignment="1">
      <alignment horizontal="center" vertical="center"/>
    </xf>
    <xf numFmtId="0" fontId="5" fillId="31" borderId="1" xfId="0" applyFont="1" applyFill="1" applyBorder="1" applyAlignment="1">
      <alignment horizontal="center" vertical="center"/>
    </xf>
    <xf numFmtId="0" fontId="0" fillId="31" borderId="0" xfId="0" applyFill="1"/>
    <xf numFmtId="2" fontId="5" fillId="31" borderId="1" xfId="0" applyNumberFormat="1" applyFont="1" applyFill="1" applyBorder="1" applyAlignment="1">
      <alignment horizontal="center" vertical="center"/>
    </xf>
    <xf numFmtId="0" fontId="4" fillId="31" borderId="1" xfId="0" applyFont="1" applyFill="1" applyBorder="1" applyAlignment="1">
      <alignment horizontal="center" vertical="top"/>
    </xf>
    <xf numFmtId="0" fontId="5" fillId="31" borderId="1" xfId="0" applyFont="1" applyFill="1" applyBorder="1" applyAlignment="1">
      <alignment vertical="center" wrapText="1"/>
    </xf>
    <xf numFmtId="2" fontId="4" fillId="31" borderId="1" xfId="0" applyNumberFormat="1" applyFont="1" applyFill="1" applyBorder="1" applyAlignment="1">
      <alignment vertical="center" wrapText="1"/>
    </xf>
    <xf numFmtId="0" fontId="4" fillId="31" borderId="1" xfId="0" applyFont="1" applyFill="1" applyBorder="1" applyAlignment="1">
      <alignment vertical="center" wrapText="1"/>
    </xf>
    <xf numFmtId="0" fontId="4" fillId="31" borderId="1" xfId="0" applyFont="1" applyFill="1" applyBorder="1" applyAlignment="1">
      <alignment vertical="center"/>
    </xf>
    <xf numFmtId="0" fontId="4" fillId="31" borderId="1" xfId="2" applyFont="1" applyFill="1" applyBorder="1" applyAlignment="1">
      <alignment vertical="center" wrapText="1"/>
    </xf>
    <xf numFmtId="0" fontId="4" fillId="31" borderId="3" xfId="0" applyFont="1" applyFill="1" applyBorder="1" applyAlignment="1">
      <alignment horizontal="center" vertical="center" wrapText="1"/>
    </xf>
    <xf numFmtId="2" fontId="11" fillId="31" borderId="1" xfId="0" applyNumberFormat="1" applyFont="1" applyFill="1" applyBorder="1" applyAlignment="1">
      <alignment horizontal="center" vertical="center" wrapText="1"/>
    </xf>
    <xf numFmtId="0" fontId="11" fillId="31" borderId="8" xfId="0" applyFont="1" applyFill="1" applyBorder="1" applyAlignment="1">
      <alignment horizontal="left" vertical="center" wrapText="1"/>
    </xf>
    <xf numFmtId="0" fontId="5" fillId="31" borderId="1" xfId="1" applyFont="1" applyFill="1" applyBorder="1" applyAlignment="1">
      <alignment horizontal="center" vertical="center"/>
    </xf>
    <xf numFmtId="2" fontId="4" fillId="31" borderId="1" xfId="0" applyNumberFormat="1" applyFont="1" applyFill="1" applyBorder="1" applyAlignment="1">
      <alignment vertical="center"/>
    </xf>
    <xf numFmtId="2" fontId="4" fillId="31" borderId="1" xfId="2" applyNumberFormat="1" applyFont="1" applyFill="1" applyBorder="1" applyAlignment="1">
      <alignment vertical="center" wrapText="1"/>
    </xf>
    <xf numFmtId="0" fontId="5" fillId="31" borderId="1" xfId="0" applyFont="1" applyFill="1" applyBorder="1" applyAlignment="1">
      <alignment horizontal="center" vertical="center" wrapText="1"/>
    </xf>
    <xf numFmtId="0" fontId="4" fillId="31" borderId="1" xfId="0" applyFont="1" applyFill="1" applyBorder="1" applyAlignment="1">
      <alignment horizontal="center" vertical="center" wrapText="1"/>
    </xf>
    <xf numFmtId="0" fontId="11" fillId="31" borderId="1" xfId="0" applyFont="1" applyFill="1" applyBorder="1" applyAlignment="1">
      <alignment horizontal="center" vertical="center"/>
    </xf>
    <xf numFmtId="164" fontId="11" fillId="31" borderId="1" xfId="0" applyNumberFormat="1" applyFont="1" applyFill="1" applyBorder="1" applyAlignment="1">
      <alignment horizontal="center" vertical="center" wrapText="1"/>
    </xf>
    <xf numFmtId="0" fontId="8" fillId="7" borderId="6" xfId="0" applyFont="1" applyFill="1" applyBorder="1" applyAlignment="1">
      <alignment horizontal="center" vertical="center"/>
    </xf>
    <xf numFmtId="2" fontId="8" fillId="7" borderId="1" xfId="0" applyNumberFormat="1" applyFont="1" applyFill="1" applyBorder="1" applyAlignment="1">
      <alignment horizontal="center" vertical="center"/>
    </xf>
    <xf numFmtId="2" fontId="10" fillId="7" borderId="1" xfId="0" applyNumberFormat="1" applyFont="1" applyFill="1" applyBorder="1" applyAlignment="1">
      <alignment horizontal="center" vertical="center" wrapText="1"/>
    </xf>
    <xf numFmtId="2" fontId="4" fillId="7" borderId="1" xfId="0" applyNumberFormat="1" applyFont="1" applyFill="1" applyBorder="1" applyAlignment="1">
      <alignment horizontal="center" vertical="center" wrapText="1"/>
    </xf>
    <xf numFmtId="0" fontId="10" fillId="21" borderId="1" xfId="0" applyFont="1" applyFill="1" applyBorder="1" applyAlignment="1">
      <alignment horizontal="center" vertical="center"/>
    </xf>
    <xf numFmtId="0" fontId="10" fillId="21" borderId="1" xfId="0" applyFont="1" applyFill="1" applyBorder="1" applyAlignment="1">
      <alignment horizontal="center" vertical="center" wrapText="1"/>
    </xf>
    <xf numFmtId="2" fontId="10" fillId="21" borderId="1" xfId="0" applyNumberFormat="1" applyFont="1" applyFill="1" applyBorder="1" applyAlignment="1">
      <alignment horizontal="center" vertical="center" wrapText="1"/>
    </xf>
    <xf numFmtId="2" fontId="4" fillId="0" borderId="1" xfId="0" applyNumberFormat="1" applyFont="1" applyBorder="1" applyAlignment="1">
      <alignment horizontal="center" vertical="center" wrapText="1"/>
    </xf>
    <xf numFmtId="0" fontId="5" fillId="22" borderId="7" xfId="0" applyFont="1" applyFill="1" applyBorder="1" applyAlignment="1">
      <alignment vertical="center"/>
    </xf>
    <xf numFmtId="2" fontId="5" fillId="22" borderId="1" xfId="0" applyNumberFormat="1" applyFont="1" applyFill="1" applyBorder="1" applyAlignment="1">
      <alignment horizontal="center" vertical="center"/>
    </xf>
    <xf numFmtId="0" fontId="5" fillId="22" borderId="1" xfId="0" applyFont="1" applyFill="1" applyBorder="1" applyAlignment="1">
      <alignment horizontal="center" vertical="center"/>
    </xf>
    <xf numFmtId="0" fontId="4" fillId="14" borderId="1" xfId="0" applyFont="1" applyFill="1" applyBorder="1" applyAlignment="1">
      <alignment vertical="center" wrapText="1"/>
    </xf>
    <xf numFmtId="0" fontId="11" fillId="14" borderId="1" xfId="0" applyFont="1" applyFill="1" applyBorder="1" applyAlignment="1">
      <alignment horizontal="center" vertical="center"/>
    </xf>
    <xf numFmtId="0" fontId="4" fillId="14" borderId="1" xfId="0" applyFont="1" applyFill="1" applyBorder="1" applyAlignment="1">
      <alignment horizontal="center" vertical="center" wrapText="1"/>
    </xf>
    <xf numFmtId="0" fontId="0" fillId="14" borderId="1" xfId="0" applyFill="1" applyBorder="1" applyAlignment="1">
      <alignment wrapText="1"/>
    </xf>
    <xf numFmtId="0" fontId="4" fillId="0" borderId="7" xfId="0" applyFont="1" applyBorder="1" applyAlignment="1">
      <alignment horizontal="center" vertical="center"/>
    </xf>
    <xf numFmtId="0" fontId="4" fillId="0" borderId="6" xfId="0" applyFont="1" applyBorder="1" applyAlignment="1">
      <alignment vertical="center" wrapText="1"/>
    </xf>
    <xf numFmtId="0" fontId="11" fillId="31" borderId="6" xfId="0" applyFont="1" applyFill="1" applyBorder="1" applyAlignment="1">
      <alignment horizontal="center" vertical="center"/>
    </xf>
    <xf numFmtId="0" fontId="4" fillId="31" borderId="1" xfId="1" applyFont="1" applyFill="1" applyBorder="1" applyAlignment="1">
      <alignment horizontal="center" vertical="center" wrapText="1"/>
    </xf>
    <xf numFmtId="0" fontId="0" fillId="31" borderId="1" xfId="0" applyFill="1" applyBorder="1" applyAlignment="1">
      <alignment wrapText="1"/>
    </xf>
    <xf numFmtId="2" fontId="4" fillId="31" borderId="1" xfId="0" applyNumberFormat="1" applyFont="1" applyFill="1" applyBorder="1" applyAlignment="1">
      <alignment horizontal="center" vertical="center" wrapText="1"/>
    </xf>
    <xf numFmtId="0" fontId="4" fillId="0" borderId="5" xfId="0" applyFont="1" applyBorder="1" applyAlignment="1">
      <alignment vertical="center" wrapText="1"/>
    </xf>
    <xf numFmtId="0" fontId="17" fillId="0" borderId="5" xfId="0" applyFont="1" applyBorder="1" applyAlignment="1">
      <alignment vertical="center" wrapText="1"/>
    </xf>
    <xf numFmtId="0" fontId="11" fillId="31" borderId="5" xfId="0" applyFont="1" applyFill="1" applyBorder="1" applyAlignment="1">
      <alignment horizontal="center" vertical="center"/>
    </xf>
    <xf numFmtId="0" fontId="4" fillId="31" borderId="6" xfId="1" applyFont="1" applyFill="1" applyBorder="1" applyAlignment="1">
      <alignment horizontal="center" vertical="center" wrapText="1"/>
    </xf>
    <xf numFmtId="0" fontId="7" fillId="32" borderId="1" xfId="0" applyFont="1" applyFill="1" applyBorder="1" applyAlignment="1">
      <alignment horizontal="center"/>
    </xf>
    <xf numFmtId="0" fontId="22" fillId="23" borderId="2" xfId="0" applyFont="1" applyFill="1" applyBorder="1" applyAlignment="1">
      <alignment horizontal="center"/>
    </xf>
    <xf numFmtId="0" fontId="22" fillId="23" borderId="3" xfId="0" applyFont="1" applyFill="1" applyBorder="1" applyAlignment="1">
      <alignment horizontal="center"/>
    </xf>
    <xf numFmtId="0" fontId="22" fillId="23" borderId="1" xfId="0" applyFont="1" applyFill="1" applyBorder="1" applyAlignment="1">
      <alignment horizontal="center"/>
    </xf>
    <xf numFmtId="0" fontId="21" fillId="0" borderId="1" xfId="0" applyFont="1" applyBorder="1" applyAlignment="1">
      <alignment horizontal="left" vertical="center" wrapText="1"/>
    </xf>
    <xf numFmtId="0" fontId="22" fillId="0" borderId="1" xfId="0" applyFont="1" applyBorder="1" applyAlignment="1">
      <alignment horizontal="center"/>
    </xf>
    <xf numFmtId="0" fontId="24" fillId="0" borderId="1" xfId="0" applyFont="1" applyBorder="1" applyAlignment="1">
      <alignment horizontal="left" vertical="center"/>
    </xf>
    <xf numFmtId="0" fontId="24" fillId="24" borderId="1" xfId="0" applyFont="1" applyFill="1" applyBorder="1" applyAlignment="1" applyProtection="1">
      <alignment horizontal="center" vertical="center" wrapText="1"/>
      <protection locked="0"/>
    </xf>
    <xf numFmtId="0" fontId="22" fillId="23" borderId="14" xfId="0" applyFont="1" applyFill="1" applyBorder="1" applyAlignment="1">
      <alignment horizontal="left"/>
    </xf>
    <xf numFmtId="0" fontId="22" fillId="23" borderId="0" xfId="0" applyFont="1" applyFill="1" applyAlignment="1">
      <alignment horizontal="left"/>
    </xf>
    <xf numFmtId="0" fontId="22" fillId="23" borderId="15" xfId="0" applyFont="1" applyFill="1" applyBorder="1" applyAlignment="1">
      <alignment horizontal="left"/>
    </xf>
    <xf numFmtId="0" fontId="27" fillId="24" borderId="1" xfId="0" applyFont="1" applyFill="1" applyBorder="1" applyAlignment="1" applyProtection="1">
      <alignment horizontal="center" vertical="center" wrapText="1"/>
      <protection locked="0"/>
    </xf>
    <xf numFmtId="0" fontId="21" fillId="24" borderId="1" xfId="0" applyFont="1" applyFill="1" applyBorder="1" applyAlignment="1" applyProtection="1">
      <alignment horizontal="center" vertical="center" wrapText="1"/>
      <protection locked="0"/>
    </xf>
    <xf numFmtId="3" fontId="27" fillId="24" borderId="1" xfId="0" applyNumberFormat="1" applyFont="1" applyFill="1" applyBorder="1" applyAlignment="1" applyProtection="1">
      <alignment horizontal="center" vertical="center" wrapText="1"/>
      <protection locked="0"/>
    </xf>
    <xf numFmtId="0" fontId="24" fillId="0" borderId="1" xfId="0" applyFont="1" applyBorder="1" applyAlignment="1">
      <alignment horizontal="center"/>
    </xf>
    <xf numFmtId="0" fontId="21" fillId="0" borderId="3" xfId="0" applyFont="1" applyBorder="1" applyAlignment="1">
      <alignment horizontal="left" vertical="center" wrapText="1"/>
    </xf>
    <xf numFmtId="0" fontId="0" fillId="24" borderId="1" xfId="0" applyFill="1" applyBorder="1" applyAlignment="1" applyProtection="1">
      <alignment horizontal="center" vertical="top"/>
      <protection locked="0"/>
    </xf>
    <xf numFmtId="0" fontId="21" fillId="0" borderId="7" xfId="0" applyFont="1" applyBorder="1" applyAlignment="1">
      <alignment horizontal="left" vertical="center" wrapText="1"/>
    </xf>
    <xf numFmtId="0" fontId="21" fillId="0" borderId="6" xfId="0" applyFont="1" applyBorder="1" applyAlignment="1">
      <alignment horizontal="left" vertical="center" wrapText="1"/>
    </xf>
    <xf numFmtId="0" fontId="21" fillId="0" borderId="1" xfId="0" applyFont="1" applyBorder="1" applyAlignment="1">
      <alignment horizontal="left" vertical="top" wrapText="1"/>
    </xf>
    <xf numFmtId="0" fontId="21" fillId="0" borderId="7" xfId="0" applyFont="1" applyBorder="1" applyAlignment="1">
      <alignment horizontal="center" vertical="center" wrapText="1"/>
    </xf>
    <xf numFmtId="0" fontId="21" fillId="0" borderId="6" xfId="0" applyFont="1" applyBorder="1" applyAlignment="1">
      <alignment horizontal="center" vertical="center" wrapText="1"/>
    </xf>
    <xf numFmtId="0" fontId="28" fillId="0" borderId="1" xfId="0" applyFont="1" applyBorder="1" applyAlignment="1">
      <alignment horizontal="left" vertical="center" wrapText="1"/>
    </xf>
    <xf numFmtId="0" fontId="3" fillId="2" borderId="1" xfId="0" applyFont="1" applyFill="1" applyBorder="1" applyAlignment="1">
      <alignment horizontal="center"/>
    </xf>
    <xf numFmtId="0" fontId="5" fillId="26" borderId="7" xfId="2" applyFont="1" applyFill="1" applyBorder="1" applyAlignment="1">
      <alignment horizontal="right" vertical="center" wrapText="1"/>
    </xf>
    <xf numFmtId="0" fontId="5" fillId="26" borderId="5" xfId="2" applyFont="1" applyFill="1" applyBorder="1" applyAlignment="1">
      <alignment horizontal="right" vertical="center" wrapText="1"/>
    </xf>
    <xf numFmtId="0" fontId="5" fillId="26" borderId="6" xfId="2" applyFont="1" applyFill="1" applyBorder="1" applyAlignment="1">
      <alignment horizontal="right" vertical="center" wrapText="1"/>
    </xf>
    <xf numFmtId="0" fontId="13" fillId="25" borderId="1" xfId="0" applyFont="1" applyFill="1" applyBorder="1" applyAlignment="1">
      <alignment horizontal="center" vertical="center"/>
    </xf>
    <xf numFmtId="0" fontId="5" fillId="2" borderId="1" xfId="0" applyFont="1" applyFill="1" applyBorder="1" applyAlignment="1">
      <alignment horizontal="center" vertical="center"/>
    </xf>
    <xf numFmtId="0" fontId="4" fillId="24" borderId="2" xfId="0" applyFont="1" applyFill="1" applyBorder="1" applyAlignment="1" applyProtection="1">
      <alignment horizontal="center" vertical="top"/>
      <protection locked="0"/>
    </xf>
    <xf numFmtId="0" fontId="4" fillId="24" borderId="10" xfId="0" applyFont="1" applyFill="1" applyBorder="1" applyAlignment="1" applyProtection="1">
      <alignment horizontal="center" vertical="top"/>
      <protection locked="0"/>
    </xf>
    <xf numFmtId="0" fontId="4" fillId="24" borderId="3" xfId="0" applyFont="1" applyFill="1" applyBorder="1" applyAlignment="1" applyProtection="1">
      <alignment horizontal="center" vertical="top"/>
      <protection locked="0"/>
    </xf>
    <xf numFmtId="0" fontId="12" fillId="0" borderId="7" xfId="0" applyFont="1" applyBorder="1" applyAlignment="1">
      <alignment horizontal="left" vertical="top" wrapText="1"/>
    </xf>
    <xf numFmtId="0" fontId="12" fillId="0" borderId="5" xfId="0" applyFont="1" applyBorder="1" applyAlignment="1">
      <alignment horizontal="left" vertical="top" wrapText="1"/>
    </xf>
    <xf numFmtId="0" fontId="4" fillId="14" borderId="1" xfId="0" applyFont="1" applyFill="1" applyBorder="1" applyAlignment="1" applyProtection="1">
      <alignment horizontal="center" vertical="center" wrapText="1"/>
      <protection locked="0"/>
    </xf>
    <xf numFmtId="0" fontId="4" fillId="24" borderId="2" xfId="0" applyFont="1" applyFill="1" applyBorder="1" applyAlignment="1" applyProtection="1">
      <alignment horizontal="center" vertical="center"/>
      <protection locked="0"/>
    </xf>
    <xf numFmtId="0" fontId="4" fillId="24" borderId="3" xfId="0" applyFont="1" applyFill="1" applyBorder="1" applyAlignment="1" applyProtection="1">
      <alignment horizontal="center" vertical="center"/>
      <protection locked="0"/>
    </xf>
    <xf numFmtId="0" fontId="4" fillId="24" borderId="10" xfId="0" applyFont="1" applyFill="1" applyBorder="1" applyAlignment="1" applyProtection="1">
      <alignment horizontal="center" vertical="center"/>
      <protection locked="0"/>
    </xf>
    <xf numFmtId="0" fontId="5" fillId="5" borderId="7" xfId="2" applyFont="1" applyFill="1" applyBorder="1" applyAlignment="1">
      <alignment horizontal="right" vertical="center" wrapText="1"/>
    </xf>
    <xf numFmtId="0" fontId="5" fillId="5" borderId="5" xfId="2" applyFont="1" applyFill="1" applyBorder="1" applyAlignment="1">
      <alignment horizontal="right" vertical="center" wrapText="1"/>
    </xf>
    <xf numFmtId="0" fontId="5" fillId="5" borderId="6" xfId="2" applyFont="1" applyFill="1" applyBorder="1" applyAlignment="1">
      <alignment horizontal="right" vertical="center" wrapText="1"/>
    </xf>
    <xf numFmtId="0" fontId="5" fillId="2" borderId="7"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6" xfId="0" applyFont="1" applyFill="1" applyBorder="1" applyAlignment="1">
      <alignment horizontal="center" vertical="center"/>
    </xf>
    <xf numFmtId="0" fontId="5" fillId="5" borderId="11" xfId="2" applyFont="1" applyFill="1" applyBorder="1" applyAlignment="1">
      <alignment horizontal="right" vertical="center" wrapText="1"/>
    </xf>
    <xf numFmtId="0" fontId="5" fillId="5" borderId="12" xfId="2" applyFont="1" applyFill="1" applyBorder="1" applyAlignment="1">
      <alignment horizontal="right" vertical="center" wrapText="1"/>
    </xf>
    <xf numFmtId="0" fontId="8" fillId="4" borderId="7" xfId="0" applyFont="1" applyFill="1" applyBorder="1" applyAlignment="1">
      <alignment horizontal="center" vertical="center"/>
    </xf>
    <xf numFmtId="0" fontId="8" fillId="4" borderId="5" xfId="0" applyFont="1" applyFill="1" applyBorder="1" applyAlignment="1">
      <alignment horizontal="center" vertical="center"/>
    </xf>
    <xf numFmtId="0" fontId="8" fillId="4" borderId="6" xfId="0" applyFont="1" applyFill="1" applyBorder="1" applyAlignment="1">
      <alignment horizontal="center" vertical="center"/>
    </xf>
    <xf numFmtId="0" fontId="10" fillId="15" borderId="5" xfId="0" applyFont="1" applyFill="1" applyBorder="1" applyAlignment="1">
      <alignment horizontal="left" vertical="top"/>
    </xf>
    <xf numFmtId="0" fontId="10" fillId="15" borderId="6" xfId="0" applyFont="1" applyFill="1" applyBorder="1" applyAlignment="1">
      <alignment horizontal="left" vertical="top"/>
    </xf>
    <xf numFmtId="0" fontId="4" fillId="0" borderId="5" xfId="0" applyFont="1" applyBorder="1" applyAlignment="1">
      <alignment horizontal="left" vertical="top"/>
    </xf>
    <xf numFmtId="0" fontId="4" fillId="0" borderId="2"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3" xfId="0" applyFont="1" applyBorder="1" applyAlignment="1">
      <alignment horizontal="center" vertical="center" wrapText="1"/>
    </xf>
    <xf numFmtId="0" fontId="4" fillId="0" borderId="5" xfId="0" applyFont="1" applyBorder="1" applyAlignment="1">
      <alignment horizontal="left" vertical="top" wrapText="1"/>
    </xf>
    <xf numFmtId="0" fontId="10" fillId="15" borderId="5" xfId="0" applyFont="1" applyFill="1" applyBorder="1" applyAlignment="1">
      <alignment horizontal="left" vertical="top" wrapText="1"/>
    </xf>
    <xf numFmtId="2" fontId="5" fillId="0" borderId="2" xfId="0" applyNumberFormat="1" applyFont="1" applyBorder="1" applyAlignment="1">
      <alignment horizontal="center" vertical="center"/>
    </xf>
    <xf numFmtId="2" fontId="5" fillId="0" borderId="3" xfId="0" applyNumberFormat="1" applyFont="1" applyBorder="1" applyAlignment="1">
      <alignment horizontal="center" vertical="center"/>
    </xf>
    <xf numFmtId="2" fontId="5" fillId="0" borderId="10" xfId="0" applyNumberFormat="1" applyFont="1" applyBorder="1" applyAlignment="1">
      <alignment horizontal="center" vertical="center"/>
    </xf>
    <xf numFmtId="0" fontId="4" fillId="0" borderId="7" xfId="0" applyFont="1" applyBorder="1" applyAlignment="1">
      <alignment horizontal="left" vertical="top" wrapText="1"/>
    </xf>
    <xf numFmtId="0" fontId="4" fillId="0" borderId="1" xfId="0" applyFont="1" applyBorder="1" applyAlignment="1">
      <alignment horizontal="left" vertical="top" wrapText="1"/>
    </xf>
    <xf numFmtId="2" fontId="5" fillId="0" borderId="2" xfId="0" applyNumberFormat="1" applyFont="1" applyBorder="1" applyAlignment="1">
      <alignment horizontal="center" vertical="center" wrapText="1"/>
    </xf>
    <xf numFmtId="2" fontId="5" fillId="0" borderId="3" xfId="0" applyNumberFormat="1" applyFont="1" applyBorder="1" applyAlignment="1">
      <alignment horizontal="center" vertical="center" wrapText="1"/>
    </xf>
    <xf numFmtId="0" fontId="10" fillId="15" borderId="7" xfId="0" applyFont="1" applyFill="1" applyBorder="1" applyAlignment="1">
      <alignment horizontal="center" vertical="center"/>
    </xf>
    <xf numFmtId="0" fontId="10" fillId="15" borderId="5" xfId="0" applyFont="1" applyFill="1" applyBorder="1" applyAlignment="1">
      <alignment horizontal="center" vertical="center"/>
    </xf>
    <xf numFmtId="0" fontId="10" fillId="15" borderId="6" xfId="0" applyFont="1" applyFill="1" applyBorder="1" applyAlignment="1">
      <alignment horizontal="center" vertical="center"/>
    </xf>
    <xf numFmtId="0" fontId="4" fillId="0" borderId="5" xfId="0" applyFont="1" applyBorder="1" applyAlignment="1">
      <alignment horizontal="left"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10" xfId="0" applyFont="1" applyBorder="1" applyAlignment="1">
      <alignment horizontal="center" vertical="center"/>
    </xf>
    <xf numFmtId="0" fontId="11" fillId="0" borderId="7" xfId="0" applyFont="1" applyBorder="1" applyAlignment="1">
      <alignment horizontal="left" vertical="top" wrapText="1"/>
    </xf>
    <xf numFmtId="0" fontId="12" fillId="0" borderId="6" xfId="0" applyFont="1" applyBorder="1" applyAlignment="1">
      <alignment horizontal="left" vertical="top" wrapText="1"/>
    </xf>
    <xf numFmtId="0" fontId="12" fillId="0" borderId="5" xfId="0" applyFont="1" applyBorder="1" applyAlignment="1">
      <alignment horizontal="left" vertical="center" wrapText="1"/>
    </xf>
    <xf numFmtId="0" fontId="12" fillId="0" borderId="2" xfId="0" applyFont="1" applyBorder="1" applyAlignment="1">
      <alignment horizontal="center" vertical="top"/>
    </xf>
    <xf numFmtId="0" fontId="12" fillId="0" borderId="10" xfId="0" applyFont="1" applyBorder="1" applyAlignment="1">
      <alignment horizontal="center" vertical="top"/>
    </xf>
    <xf numFmtId="0" fontId="12" fillId="0" borderId="14" xfId="0" applyFont="1" applyBorder="1" applyAlignment="1">
      <alignment horizontal="center" vertical="top"/>
    </xf>
    <xf numFmtId="0" fontId="12" fillId="0" borderId="11" xfId="0" applyFont="1" applyBorder="1" applyAlignment="1">
      <alignment horizontal="center" vertical="top"/>
    </xf>
    <xf numFmtId="0" fontId="4" fillId="0" borderId="2" xfId="0" applyFont="1" applyBorder="1" applyAlignment="1">
      <alignment horizontal="center" vertical="top"/>
    </xf>
    <xf numFmtId="0" fontId="4" fillId="0" borderId="10" xfId="0" applyFont="1" applyBorder="1" applyAlignment="1">
      <alignment horizontal="center" vertical="top"/>
    </xf>
    <xf numFmtId="0" fontId="4" fillId="0" borderId="3" xfId="0" applyFont="1" applyBorder="1" applyAlignment="1">
      <alignment horizontal="center" vertical="top"/>
    </xf>
    <xf numFmtId="0" fontId="4" fillId="0" borderId="4" xfId="0" applyFont="1" applyBorder="1" applyAlignment="1">
      <alignment horizontal="left" vertical="top" wrapText="1"/>
    </xf>
    <xf numFmtId="0" fontId="4" fillId="0" borderId="13" xfId="0" applyFont="1" applyBorder="1" applyAlignment="1">
      <alignment horizontal="left" vertical="top" wrapText="1"/>
    </xf>
    <xf numFmtId="0" fontId="4" fillId="0" borderId="9" xfId="0" applyFont="1" applyBorder="1" applyAlignment="1">
      <alignment horizontal="left" vertical="top" wrapText="1"/>
    </xf>
    <xf numFmtId="0" fontId="4" fillId="0" borderId="14" xfId="0" applyFont="1" applyBorder="1" applyAlignment="1">
      <alignment horizontal="left" vertical="top" wrapText="1"/>
    </xf>
    <xf numFmtId="0" fontId="4" fillId="0" borderId="0" xfId="0" applyFont="1" applyAlignment="1">
      <alignment horizontal="left" vertical="top" wrapText="1"/>
    </xf>
    <xf numFmtId="0" fontId="4" fillId="0" borderId="15" xfId="0" applyFont="1" applyBorder="1" applyAlignment="1">
      <alignment horizontal="left" vertical="top" wrapText="1"/>
    </xf>
    <xf numFmtId="0" fontId="4" fillId="27" borderId="1" xfId="0" applyFont="1" applyFill="1" applyBorder="1" applyAlignment="1">
      <alignment horizontal="center" vertical="top" wrapText="1"/>
    </xf>
    <xf numFmtId="0" fontId="12" fillId="0" borderId="2" xfId="0" applyFont="1" applyBorder="1" applyAlignment="1">
      <alignment horizontal="center" vertical="top" wrapText="1"/>
    </xf>
    <xf numFmtId="0" fontId="12" fillId="0" borderId="4" xfId="0" applyFont="1" applyBorder="1" applyAlignment="1">
      <alignment horizontal="center" vertical="top" wrapText="1"/>
    </xf>
    <xf numFmtId="0" fontId="5"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5" fillId="11" borderId="7" xfId="2" applyFont="1" applyFill="1" applyBorder="1" applyAlignment="1">
      <alignment horizontal="right" vertical="center" wrapText="1"/>
    </xf>
    <xf numFmtId="0" fontId="5" fillId="11" borderId="5" xfId="2" applyFont="1" applyFill="1" applyBorder="1" applyAlignment="1">
      <alignment horizontal="right" vertical="center" wrapText="1"/>
    </xf>
    <xf numFmtId="0" fontId="0" fillId="0" borderId="14" xfId="0" applyBorder="1" applyAlignment="1">
      <alignment horizontal="center"/>
    </xf>
    <xf numFmtId="0" fontId="0" fillId="0" borderId="0" xfId="0" applyAlignment="1">
      <alignment horizontal="center"/>
    </xf>
    <xf numFmtId="0" fontId="16" fillId="3" borderId="7" xfId="0" applyFont="1" applyFill="1" applyBorder="1" applyAlignment="1">
      <alignment horizontal="center" vertical="center"/>
    </xf>
    <xf numFmtId="0" fontId="16" fillId="3" borderId="5" xfId="0" applyFont="1" applyFill="1" applyBorder="1" applyAlignment="1">
      <alignment horizontal="center" vertical="center"/>
    </xf>
    <xf numFmtId="0" fontId="16" fillId="3" borderId="6" xfId="0" applyFont="1" applyFill="1" applyBorder="1" applyAlignment="1">
      <alignment horizontal="center" vertical="center"/>
    </xf>
    <xf numFmtId="0" fontId="0" fillId="0" borderId="2" xfId="0" applyBorder="1" applyAlignment="1">
      <alignment horizontal="center" vertical="center"/>
    </xf>
    <xf numFmtId="0" fontId="0" fillId="0" borderId="10" xfId="0" applyBorder="1" applyAlignment="1">
      <alignment horizontal="center" vertical="center"/>
    </xf>
    <xf numFmtId="0" fontId="0" fillId="0" borderId="3" xfId="0" applyBorder="1" applyAlignment="1">
      <alignment horizontal="center" vertical="center"/>
    </xf>
    <xf numFmtId="0" fontId="4" fillId="0" borderId="2" xfId="2" applyFont="1" applyBorder="1" applyAlignment="1">
      <alignment horizontal="center" vertical="center"/>
    </xf>
    <xf numFmtId="0" fontId="4" fillId="0" borderId="10" xfId="2" applyFont="1" applyBorder="1" applyAlignment="1">
      <alignment horizontal="center" vertical="center"/>
    </xf>
    <xf numFmtId="0" fontId="4" fillId="0" borderId="3" xfId="2" applyFont="1" applyBorder="1" applyAlignment="1">
      <alignment horizontal="center" vertical="center"/>
    </xf>
    <xf numFmtId="0" fontId="4" fillId="0" borderId="2" xfId="2" applyFont="1" applyBorder="1" applyAlignment="1">
      <alignment horizontal="center" vertical="center" wrapText="1"/>
    </xf>
    <xf numFmtId="0" fontId="4" fillId="0" borderId="10" xfId="2" applyFont="1" applyBorder="1" applyAlignment="1">
      <alignment horizontal="center" vertical="center" wrapText="1"/>
    </xf>
    <xf numFmtId="0" fontId="4" fillId="0" borderId="3" xfId="2" applyFont="1" applyBorder="1" applyAlignment="1">
      <alignment horizontal="center" vertical="center" wrapText="1"/>
    </xf>
    <xf numFmtId="2" fontId="5" fillId="0" borderId="1" xfId="0" applyNumberFormat="1" applyFont="1" applyBorder="1" applyAlignment="1">
      <alignment horizontal="center" vertical="center"/>
    </xf>
    <xf numFmtId="2" fontId="5" fillId="0" borderId="7" xfId="0" applyNumberFormat="1" applyFont="1" applyBorder="1" applyAlignment="1">
      <alignment horizontal="center" vertical="center"/>
    </xf>
    <xf numFmtId="2" fontId="0" fillId="13" borderId="1" xfId="0" applyNumberFormat="1" applyFill="1" applyBorder="1" applyAlignment="1">
      <alignment horizontal="center" vertical="center"/>
    </xf>
    <xf numFmtId="0" fontId="0" fillId="13" borderId="1" xfId="0" applyFill="1" applyBorder="1" applyAlignment="1">
      <alignment horizontal="center" vertical="center"/>
    </xf>
    <xf numFmtId="0" fontId="5" fillId="18" borderId="1" xfId="0" applyFont="1" applyFill="1" applyBorder="1" applyAlignment="1">
      <alignment horizontal="right" vertical="center"/>
    </xf>
    <xf numFmtId="0" fontId="19" fillId="5" borderId="7" xfId="0" applyFont="1" applyFill="1" applyBorder="1" applyAlignment="1">
      <alignment horizontal="center" vertical="center"/>
    </xf>
    <xf numFmtId="0" fontId="19" fillId="5" borderId="5" xfId="0" applyFont="1" applyFill="1" applyBorder="1" applyAlignment="1">
      <alignment horizontal="center" vertical="center"/>
    </xf>
    <xf numFmtId="0" fontId="19" fillId="5" borderId="6" xfId="0" applyFont="1" applyFill="1" applyBorder="1" applyAlignment="1">
      <alignment horizontal="center" vertical="center"/>
    </xf>
    <xf numFmtId="0" fontId="11" fillId="16" borderId="5" xfId="0" applyFont="1" applyFill="1" applyBorder="1" applyAlignment="1">
      <alignment horizontal="left" vertical="top"/>
    </xf>
    <xf numFmtId="0" fontId="11" fillId="16" borderId="6" xfId="0" applyFont="1" applyFill="1" applyBorder="1" applyAlignment="1">
      <alignment horizontal="left" vertical="top"/>
    </xf>
    <xf numFmtId="0" fontId="11" fillId="16" borderId="5" xfId="0" applyFont="1" applyFill="1" applyBorder="1" applyAlignment="1">
      <alignment horizontal="left" vertical="top" wrapText="1"/>
    </xf>
    <xf numFmtId="0" fontId="11" fillId="16" borderId="6" xfId="0" applyFont="1" applyFill="1" applyBorder="1" applyAlignment="1">
      <alignment horizontal="left" vertical="top" wrapText="1"/>
    </xf>
    <xf numFmtId="0" fontId="11" fillId="17" borderId="5" xfId="0" applyFont="1" applyFill="1" applyBorder="1" applyAlignment="1">
      <alignment horizontal="left" vertical="top" wrapText="1"/>
    </xf>
    <xf numFmtId="0" fontId="5" fillId="0" borderId="1" xfId="0" applyFont="1" applyBorder="1" applyAlignment="1">
      <alignment horizontal="left" vertical="top" wrapText="1"/>
    </xf>
    <xf numFmtId="0" fontId="4" fillId="0" borderId="6" xfId="0" applyFont="1" applyBorder="1" applyAlignment="1">
      <alignment horizontal="left" vertical="top" wrapText="1"/>
    </xf>
    <xf numFmtId="0" fontId="11" fillId="16" borderId="1" xfId="0" applyFont="1" applyFill="1" applyBorder="1" applyAlignment="1">
      <alignment horizontal="left" vertical="top" wrapText="1"/>
    </xf>
    <xf numFmtId="0" fontId="11" fillId="16" borderId="1" xfId="0" applyFont="1" applyFill="1" applyBorder="1" applyAlignment="1">
      <alignment horizontal="left" vertical="top"/>
    </xf>
    <xf numFmtId="0" fontId="11" fillId="17" borderId="1" xfId="0" applyFont="1" applyFill="1" applyBorder="1" applyAlignment="1">
      <alignment horizontal="left" vertical="top" wrapText="1"/>
    </xf>
    <xf numFmtId="0" fontId="12" fillId="0" borderId="1" xfId="0" applyFont="1" applyBorder="1" applyAlignment="1">
      <alignment horizontal="left" vertical="top" wrapText="1"/>
    </xf>
    <xf numFmtId="0" fontId="11" fillId="20" borderId="1" xfId="0" applyFont="1" applyFill="1" applyBorder="1" applyAlignment="1">
      <alignment horizontal="left" vertical="center" wrapText="1"/>
    </xf>
    <xf numFmtId="0" fontId="5" fillId="13" borderId="1" xfId="2" applyFont="1" applyFill="1" applyBorder="1" applyAlignment="1">
      <alignment horizontal="right" vertical="center" wrapText="1"/>
    </xf>
    <xf numFmtId="0" fontId="19" fillId="6" borderId="1" xfId="0" applyFont="1" applyFill="1" applyBorder="1" applyAlignment="1">
      <alignment horizontal="center" vertical="center"/>
    </xf>
    <xf numFmtId="0" fontId="4" fillId="0" borderId="1" xfId="0" applyFont="1" applyBorder="1" applyAlignment="1">
      <alignment horizontal="center" vertical="center"/>
    </xf>
    <xf numFmtId="49" fontId="4" fillId="12" borderId="2" xfId="1" applyNumberFormat="1" applyFont="1" applyFill="1" applyBorder="1" applyAlignment="1">
      <alignment horizontal="center" vertical="center"/>
    </xf>
    <xf numFmtId="49" fontId="4" fillId="12" borderId="10" xfId="1" applyNumberFormat="1" applyFont="1" applyFill="1" applyBorder="1" applyAlignment="1">
      <alignment horizontal="center" vertical="center"/>
    </xf>
    <xf numFmtId="49" fontId="4" fillId="12" borderId="3" xfId="1" applyNumberFormat="1" applyFont="1" applyFill="1" applyBorder="1" applyAlignment="1">
      <alignment horizontal="center" vertical="center"/>
    </xf>
    <xf numFmtId="0" fontId="0" fillId="24" borderId="2" xfId="0" applyFill="1" applyBorder="1" applyAlignment="1" applyProtection="1">
      <alignment horizontal="center" wrapText="1"/>
      <protection locked="0"/>
    </xf>
    <xf numFmtId="0" fontId="0" fillId="24" borderId="3" xfId="0" applyFill="1" applyBorder="1" applyAlignment="1" applyProtection="1">
      <alignment horizontal="center" wrapText="1"/>
      <protection locked="0"/>
    </xf>
    <xf numFmtId="0" fontId="11" fillId="28" borderId="2" xfId="0" applyFont="1" applyFill="1" applyBorder="1" applyAlignment="1" applyProtection="1">
      <alignment horizontal="center" vertical="center" wrapText="1"/>
      <protection locked="0"/>
    </xf>
    <xf numFmtId="0" fontId="11" fillId="28" borderId="3" xfId="0" applyFont="1" applyFill="1" applyBorder="1" applyAlignment="1" applyProtection="1">
      <alignment horizontal="center" vertical="center" wrapText="1"/>
      <protection locked="0"/>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4" fillId="12" borderId="2" xfId="1" applyFont="1" applyFill="1" applyBorder="1" applyAlignment="1">
      <alignment horizontal="center" vertical="center" wrapText="1"/>
    </xf>
    <xf numFmtId="0" fontId="4" fillId="12" borderId="3" xfId="1" applyFont="1" applyFill="1" applyBorder="1" applyAlignment="1">
      <alignment horizontal="center" vertical="center" wrapText="1"/>
    </xf>
    <xf numFmtId="2" fontId="11" fillId="0" borderId="2" xfId="0" applyNumberFormat="1" applyFont="1" applyBorder="1" applyAlignment="1">
      <alignment horizontal="center" vertical="center" wrapText="1"/>
    </xf>
    <xf numFmtId="2" fontId="11" fillId="0" borderId="3" xfId="0" applyNumberFormat="1" applyFont="1" applyBorder="1" applyAlignment="1">
      <alignment horizontal="center" vertical="center" wrapText="1"/>
    </xf>
    <xf numFmtId="0" fontId="5" fillId="22" borderId="5" xfId="0" applyFont="1" applyFill="1" applyBorder="1" applyAlignment="1">
      <alignment horizontal="right" vertical="center"/>
    </xf>
    <xf numFmtId="0" fontId="5" fillId="22" borderId="6" xfId="0" applyFont="1" applyFill="1" applyBorder="1" applyAlignment="1">
      <alignment horizontal="right" vertical="center"/>
    </xf>
    <xf numFmtId="0" fontId="10" fillId="21" borderId="7" xfId="0" applyFont="1" applyFill="1" applyBorder="1" applyAlignment="1">
      <alignment horizontal="left" vertical="center"/>
    </xf>
    <xf numFmtId="0" fontId="10" fillId="21" borderId="5" xfId="0" applyFont="1" applyFill="1" applyBorder="1" applyAlignment="1">
      <alignment horizontal="left" vertical="center"/>
    </xf>
    <xf numFmtId="0" fontId="10" fillId="21" borderId="6" xfId="0" applyFont="1" applyFill="1" applyBorder="1" applyAlignment="1">
      <alignment horizontal="left" vertical="center"/>
    </xf>
    <xf numFmtId="0" fontId="8" fillId="7" borderId="7" xfId="0" applyFont="1" applyFill="1" applyBorder="1" applyAlignment="1">
      <alignment horizontal="center" vertical="center"/>
    </xf>
    <xf numFmtId="0" fontId="8" fillId="7" borderId="6" xfId="0" applyFont="1" applyFill="1" applyBorder="1" applyAlignment="1">
      <alignment horizontal="center" vertical="center"/>
    </xf>
    <xf numFmtId="0" fontId="9" fillId="2" borderId="1" xfId="0" applyFont="1" applyFill="1" applyBorder="1" applyAlignment="1">
      <alignment horizontal="center" vertical="center" wrapText="1"/>
    </xf>
    <xf numFmtId="0" fontId="8" fillId="7" borderId="1" xfId="0" applyFont="1" applyFill="1" applyBorder="1" applyAlignment="1">
      <alignment horizontal="center" vertical="center"/>
    </xf>
    <xf numFmtId="2" fontId="10" fillId="21" borderId="1" xfId="0" applyNumberFormat="1" applyFont="1" applyFill="1" applyBorder="1" applyAlignment="1">
      <alignment horizontal="center" vertical="center" wrapText="1"/>
    </xf>
    <xf numFmtId="0" fontId="10" fillId="21" borderId="1" xfId="0" applyFont="1" applyFill="1" applyBorder="1" applyAlignment="1">
      <alignment horizontal="center" vertical="center" wrapText="1"/>
    </xf>
    <xf numFmtId="2"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2" fontId="5" fillId="22" borderId="1" xfId="0" applyNumberFormat="1" applyFont="1" applyFill="1" applyBorder="1" applyAlignment="1">
      <alignment horizontal="center" vertical="center"/>
    </xf>
    <xf numFmtId="0" fontId="5" fillId="22" borderId="1" xfId="0" applyFont="1" applyFill="1" applyBorder="1" applyAlignment="1">
      <alignment horizontal="center" vertical="center"/>
    </xf>
  </cellXfs>
  <cellStyles count="4">
    <cellStyle name="Normal" xfId="0" builtinId="0"/>
    <cellStyle name="Normal 2" xfId="1" xr:uid="{00000000-0005-0000-0000-000002000000}"/>
    <cellStyle name="Normal 2 2" xfId="3" xr:uid="{00000000-0005-0000-0000-000003000000}"/>
    <cellStyle name="Normal 4 2" xfId="2" xr:uid="{00000000-0005-0000-0000-000004000000}"/>
  </cellStyles>
  <dxfs count="10">
    <dxf>
      <fill>
        <patternFill>
          <bgColor theme="1" tint="4.9989318521683403E-2"/>
        </patternFill>
      </fill>
    </dxf>
    <dxf>
      <fill>
        <patternFill>
          <bgColor theme="1" tint="4.9989318521683403E-2"/>
        </patternFill>
      </fill>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s>
  <tableStyles count="0" defaultTableStyle="TableStyleMedium2" defaultPivotStyle="PivotStyleLight16"/>
  <colors>
    <mruColors>
      <color rgb="FFCCCCFF"/>
      <color rgb="FFFFCC99"/>
      <color rgb="FF9933FF"/>
      <color rgb="FF9966FF"/>
      <color rgb="FF0A0064"/>
      <color rgb="FFFFFFCC"/>
      <color rgb="FFFFFF99"/>
      <color rgb="FFFFFF66"/>
      <color rgb="FF66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2.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onnections" Target="connections.xml"/><Relationship Id="rId22"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2334337</xdr:colOff>
      <xdr:row>2</xdr:row>
      <xdr:rowOff>48660</xdr:rowOff>
    </xdr:from>
    <xdr:to>
      <xdr:col>4</xdr:col>
      <xdr:colOff>793</xdr:colOff>
      <xdr:row>5</xdr:row>
      <xdr:rowOff>345841</xdr:rowOff>
    </xdr:to>
    <xdr:pic>
      <xdr:nvPicPr>
        <xdr:cNvPr id="2" name="Picture 1" descr="gm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screen"/>
        <a:srcRect/>
        <a:stretch>
          <a:fillRect/>
        </a:stretch>
      </xdr:blipFill>
      <xdr:spPr bwMode="auto">
        <a:xfrm>
          <a:off x="5522037" y="1159910"/>
          <a:ext cx="1070056" cy="1071321"/>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y-sgdcs.sgnet.gov.sg/HCP_BACKUP/GREENMARK%20DOCS/GM%202016%20(RB)/Scoresheet/V1_Revised%20for%20upload/GM_RB_2016_Score_Card%20Ver%201%20(unprotecte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y-sgdcs.sgnet.gov.sg/Users/bca_hweifern/Documents/GM%202015%20(NRB)/Energy%20Calculator/Version%20R3.03/BCA_Energy_Performance_Points_Calculator.xlsx"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Worksheet%20in%20Green%20Mark%202021_Scoresheet%20(NRB)"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Worksheet%20in%20Green%20Mark%202021_Scoresheet%20(NRB).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sion Tracking"/>
      <sheetName val="Score Summary"/>
      <sheetName val="1.Climatic Responsive Design"/>
      <sheetName val="2.Building Energy Performance"/>
      <sheetName val="3.Resource Stewardship"/>
      <sheetName val="4.Smart &amp; Healthy Bldg"/>
      <sheetName val="5.Advanced Green Efforts"/>
      <sheetName val="Raw Data"/>
    </sheetNames>
    <sheetDataSet>
      <sheetData sheetId="0"/>
      <sheetData sheetId="1"/>
      <sheetData sheetId="2"/>
      <sheetData sheetId="3"/>
      <sheetData sheetId="4"/>
      <sheetData sheetId="5"/>
      <sheetData sheetId="6"/>
      <sheetData sheetId="7">
        <row r="2">
          <cell r="D2">
            <v>1</v>
          </cell>
        </row>
        <row r="3">
          <cell r="D3">
            <v>2</v>
          </cell>
        </row>
        <row r="4">
          <cell r="D4">
            <v>3</v>
          </cell>
        </row>
        <row r="7">
          <cell r="D7">
            <v>4</v>
          </cell>
        </row>
        <row r="8">
          <cell r="D8">
            <v>5</v>
          </cell>
        </row>
        <row r="9">
          <cell r="D9" t="str">
            <v>Others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sion Tracking"/>
      <sheetName val="Guidance Notes"/>
      <sheetName val="Notes for kWadj"/>
      <sheetName val="Building Data schedule"/>
      <sheetName val=" ACMV 2.01a"/>
      <sheetName val="Lighting Power Budget 2.01b"/>
      <sheetName val="Car Park 2.01c"/>
      <sheetName val="Receptacle Load 2.01d"/>
      <sheetName val="Building Energy 2.02a"/>
      <sheetName val="Renewable Energy 2.03c"/>
      <sheetName val="Mechanical Ventilation"/>
      <sheetName val="Vertical Transportation"/>
      <sheetName val="Hot Water"/>
      <sheetName val="Energy Efficient Features"/>
      <sheetName val="Service Equipment"/>
      <sheetName val="Heat Load calculation"/>
      <sheetName val="VRVVRFSplit System Tab"/>
      <sheetName val="AHU_FCU_PAU Working"/>
      <sheetName val="LOCKED SHEET"/>
    </sheetNames>
    <sheetDataSet>
      <sheetData sheetId="0"/>
      <sheetData sheetId="1"/>
      <sheetData sheetId="2"/>
      <sheetData sheetId="3">
        <row r="36">
          <cell r="G36" t="str">
            <v>Office</v>
          </cell>
          <cell r="H36">
            <v>72</v>
          </cell>
        </row>
        <row r="37">
          <cell r="G37" t="str">
            <v>Retail</v>
          </cell>
          <cell r="H37">
            <v>130</v>
          </cell>
        </row>
        <row r="38">
          <cell r="G38" t="str">
            <v>Hotel</v>
          </cell>
          <cell r="H38">
            <v>57</v>
          </cell>
        </row>
        <row r="39">
          <cell r="G39" t="str">
            <v>Industrial</v>
          </cell>
          <cell r="H39">
            <v>0</v>
          </cell>
        </row>
        <row r="40">
          <cell r="G40" t="str">
            <v>Education</v>
          </cell>
          <cell r="H40">
            <v>0</v>
          </cell>
        </row>
        <row r="41">
          <cell r="G41" t="str">
            <v>Healthcare</v>
          </cell>
          <cell r="H41" t="str">
            <v xml:space="preserve"> </v>
          </cell>
        </row>
        <row r="42">
          <cell r="G42" t="str">
            <v>Sports</v>
          </cell>
          <cell r="H42">
            <v>0</v>
          </cell>
        </row>
        <row r="43">
          <cell r="G43" t="str">
            <v>Other 1</v>
          </cell>
          <cell r="H43">
            <v>0</v>
          </cell>
        </row>
        <row r="44">
          <cell r="G44" t="str">
            <v>Other 2</v>
          </cell>
          <cell r="H44">
            <v>0</v>
          </cell>
        </row>
        <row r="45">
          <cell r="G45" t="str">
            <v>Other 3</v>
          </cell>
          <cell r="H45">
            <v>0</v>
          </cell>
        </row>
        <row r="46">
          <cell r="G46" t="str">
            <v>[Empty]</v>
          </cell>
          <cell r="H46">
            <v>0</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tainability Score Summary"/>
      <sheetName val="Pre-Reqs"/>
      <sheetName val="0. General"/>
      <sheetName val="1. Arch Ext"/>
      <sheetName val="2. Arch Int"/>
      <sheetName val="3. Mech"/>
      <sheetName val="4. Elect"/>
      <sheetName val="5. Landscape"/>
      <sheetName val="6. Smart FM"/>
    </sheetNames>
    <sheetDataSet>
      <sheetData sheetId="0" refreshError="1">
        <row r="6">
          <cell r="A6" t="str">
            <v>SECTION 0 - GENERAL</v>
          </cell>
        </row>
        <row r="8">
          <cell r="F8">
            <v>0</v>
          </cell>
        </row>
        <row r="10">
          <cell r="F10">
            <v>0</v>
          </cell>
        </row>
        <row r="26">
          <cell r="F26">
            <v>0</v>
          </cell>
        </row>
        <row r="27">
          <cell r="B27" t="str">
            <v>Chiller Plant</v>
          </cell>
          <cell r="F27">
            <v>0</v>
          </cell>
        </row>
        <row r="28">
          <cell r="F28">
            <v>0</v>
          </cell>
        </row>
        <row r="29">
          <cell r="F29">
            <v>0</v>
          </cell>
        </row>
        <row r="35">
          <cell r="F35">
            <v>0</v>
          </cell>
        </row>
        <row r="36">
          <cell r="F36">
            <v>0</v>
          </cell>
        </row>
        <row r="37">
          <cell r="F37">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tainability Score Summary"/>
      <sheetName val="Pre-Reqs"/>
      <sheetName val="0. General"/>
      <sheetName val="1. Arch Ext"/>
      <sheetName val="2. Arch Int"/>
      <sheetName val="3. Mech"/>
      <sheetName val="4. Elect"/>
      <sheetName val="5. Landscape"/>
      <sheetName val="6. Smart FM"/>
    </sheetNames>
    <sheetDataSet>
      <sheetData sheetId="0" refreshError="1">
        <row r="6">
          <cell r="F6">
            <v>0</v>
          </cell>
        </row>
        <row r="8">
          <cell r="F8">
            <v>0</v>
          </cell>
        </row>
        <row r="10">
          <cell r="F10">
            <v>0</v>
          </cell>
        </row>
        <row r="27">
          <cell r="F27">
            <v>0</v>
          </cell>
        </row>
        <row r="28">
          <cell r="F28">
            <v>0</v>
          </cell>
        </row>
        <row r="29">
          <cell r="F29">
            <v>0</v>
          </cell>
        </row>
        <row r="30">
          <cell r="F30">
            <v>0</v>
          </cell>
        </row>
        <row r="36">
          <cell r="F36">
            <v>0</v>
          </cell>
        </row>
        <row r="37">
          <cell r="F37">
            <v>0</v>
          </cell>
        </row>
        <row r="38">
          <cell r="F38">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F1F5830-8544-43C4-88C4-918DC54F79D3}" name="Table1" displayName="Table1" ref="K19:L22" totalsRowShown="0" headerRowDxfId="9" dataDxfId="8">
  <autoFilter ref="K19:L22" xr:uid="{AF1F5830-8544-43C4-88C4-918DC54F79D3}"/>
  <tableColumns count="2">
    <tableColumn id="1" xr3:uid="{E620B571-26A3-4D86-892D-D34FBDAC3F75}" name="Column1" dataDxfId="7"/>
    <tableColumn id="2" xr3:uid="{841974E4-C3FE-4FB3-AF57-FB2EF16A0AB2}" name="Column2" dataDxfId="6"/>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9E053A5-BB9F-4F5A-A281-5A7516E3854D}" name="Table13" displayName="Table13" ref="M19:N21" totalsRowShown="0" headerRowDxfId="5" dataDxfId="4">
  <autoFilter ref="M19:N21" xr:uid="{F9E053A5-BB9F-4F5A-A281-5A7516E3854D}"/>
  <tableColumns count="2">
    <tableColumn id="1" xr3:uid="{50A484EB-05A3-49C4-A55B-C6ABA7A11456}" name="Column1" dataDxfId="3"/>
    <tableColumn id="2" xr3:uid="{22E5681C-344A-4348-B841-5596EA63BE85}" name="Column2" dataDxfId="2"/>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H28"/>
  <sheetViews>
    <sheetView tabSelected="1" topLeftCell="A6" zoomScaleNormal="100" workbookViewId="0">
      <selection activeCell="C27" sqref="C27"/>
    </sheetView>
  </sheetViews>
  <sheetFormatPr defaultColWidth="8.88671875" defaultRowHeight="14.4" x14ac:dyDescent="0.3"/>
  <cols>
    <col min="1" max="1" width="33.88671875" style="51" customWidth="1"/>
    <col min="2" max="2" width="11.88671875" customWidth="1"/>
    <col min="3" max="6" width="15.77734375" customWidth="1"/>
    <col min="7" max="7" width="18.21875" style="47" customWidth="1"/>
    <col min="8" max="8" width="0" hidden="1" customWidth="1"/>
  </cols>
  <sheetData>
    <row r="2" spans="1:8" s="46" customFormat="1" ht="21" x14ac:dyDescent="0.4">
      <c r="A2" s="241"/>
      <c r="B2" s="241"/>
      <c r="C2" s="241"/>
      <c r="D2" s="241"/>
      <c r="E2" s="241"/>
      <c r="F2" s="241"/>
    </row>
    <row r="3" spans="1:8" s="46" customFormat="1" ht="21" x14ac:dyDescent="0.4">
      <c r="A3" s="237"/>
      <c r="B3" s="237"/>
      <c r="C3" s="237"/>
      <c r="D3" s="237"/>
      <c r="E3" s="237"/>
      <c r="F3" s="237"/>
    </row>
    <row r="4" spans="1:8" s="46" customFormat="1" ht="21" x14ac:dyDescent="0.4">
      <c r="A4" s="244" t="s">
        <v>280</v>
      </c>
      <c r="B4" s="245"/>
      <c r="C4" s="245"/>
      <c r="D4" s="245"/>
      <c r="E4" s="245"/>
      <c r="F4" s="246"/>
    </row>
    <row r="5" spans="1:8" s="46" customFormat="1" ht="21" customHeight="1" x14ac:dyDescent="0.3">
      <c r="A5" s="238"/>
      <c r="B5" s="238"/>
      <c r="C5" s="238"/>
      <c r="D5" s="238"/>
      <c r="E5" s="238"/>
      <c r="F5" s="238"/>
    </row>
    <row r="6" spans="1:8" s="46" customFormat="1" ht="31.5" customHeight="1" x14ac:dyDescent="0.3">
      <c r="A6" s="239"/>
      <c r="B6" s="239"/>
      <c r="C6" s="239"/>
      <c r="D6" s="239"/>
      <c r="E6" s="239"/>
      <c r="F6" s="239"/>
    </row>
    <row r="7" spans="1:8" ht="20.100000000000001" customHeight="1" x14ac:dyDescent="0.3">
      <c r="A7" s="242" t="s">
        <v>0</v>
      </c>
      <c r="B7" s="242"/>
      <c r="C7" s="242"/>
      <c r="D7" s="242"/>
      <c r="E7" s="242"/>
      <c r="F7" s="242"/>
      <c r="H7" s="48" t="s">
        <v>1</v>
      </c>
    </row>
    <row r="8" spans="1:8" ht="20.100000000000001" customHeight="1" x14ac:dyDescent="0.3">
      <c r="A8" s="240" t="s">
        <v>2</v>
      </c>
      <c r="B8" s="240"/>
      <c r="C8" s="243"/>
      <c r="D8" s="243"/>
      <c r="E8" s="243"/>
      <c r="F8" s="243"/>
      <c r="H8" s="47"/>
    </row>
    <row r="9" spans="1:8" ht="20.100000000000001" customHeight="1" x14ac:dyDescent="0.3">
      <c r="A9" s="240" t="s">
        <v>97</v>
      </c>
      <c r="B9" s="240"/>
      <c r="C9" s="243"/>
      <c r="D9" s="243"/>
      <c r="E9" s="243"/>
      <c r="F9" s="243"/>
      <c r="G9"/>
      <c r="H9" s="47"/>
    </row>
    <row r="10" spans="1:8" ht="20.100000000000001" customHeight="1" x14ac:dyDescent="0.3">
      <c r="A10" s="240" t="s">
        <v>98</v>
      </c>
      <c r="B10" s="240"/>
      <c r="C10" s="243"/>
      <c r="D10" s="243"/>
      <c r="E10" s="243"/>
      <c r="F10" s="243"/>
      <c r="G10"/>
      <c r="H10" s="47"/>
    </row>
    <row r="11" spans="1:8" ht="20.100000000000001" customHeight="1" x14ac:dyDescent="0.3">
      <c r="A11" s="240" t="s">
        <v>3</v>
      </c>
      <c r="B11" s="240"/>
      <c r="C11" s="248" t="s">
        <v>119</v>
      </c>
      <c r="D11" s="248"/>
      <c r="E11" s="248"/>
      <c r="F11" s="248"/>
      <c r="G11"/>
      <c r="H11" s="49" t="s">
        <v>4</v>
      </c>
    </row>
    <row r="12" spans="1:8" ht="20.100000000000001" customHeight="1" x14ac:dyDescent="0.3">
      <c r="A12" s="240" t="s">
        <v>99</v>
      </c>
      <c r="B12" s="240"/>
      <c r="C12" s="248" t="s">
        <v>100</v>
      </c>
      <c r="D12" s="248"/>
      <c r="E12" s="248"/>
      <c r="F12" s="248"/>
      <c r="G12"/>
      <c r="H12" s="49"/>
    </row>
    <row r="13" spans="1:8" ht="20.100000000000001" customHeight="1" x14ac:dyDescent="0.3">
      <c r="A13" s="240" t="s">
        <v>5</v>
      </c>
      <c r="B13" s="240"/>
      <c r="C13" s="249"/>
      <c r="D13" s="249"/>
      <c r="E13" s="249"/>
      <c r="F13" s="249"/>
      <c r="G13"/>
      <c r="H13" s="49"/>
    </row>
    <row r="14" spans="1:8" ht="20.100000000000001" customHeight="1" x14ac:dyDescent="0.3">
      <c r="A14" s="240" t="s">
        <v>6</v>
      </c>
      <c r="B14" s="240"/>
      <c r="C14" s="249"/>
      <c r="D14" s="249"/>
      <c r="E14" s="249"/>
      <c r="F14" s="249"/>
      <c r="G14"/>
      <c r="H14" s="49"/>
    </row>
    <row r="15" spans="1:8" ht="20.100000000000001" customHeight="1" x14ac:dyDescent="0.3">
      <c r="A15" s="240" t="s">
        <v>7</v>
      </c>
      <c r="B15" s="240"/>
      <c r="C15" s="249"/>
      <c r="D15" s="249"/>
      <c r="E15" s="249"/>
      <c r="F15" s="249"/>
      <c r="G15"/>
      <c r="H15" s="49"/>
    </row>
    <row r="16" spans="1:8" ht="20.100000000000001" customHeight="1" x14ac:dyDescent="0.3">
      <c r="A16" s="242"/>
      <c r="B16" s="242"/>
      <c r="C16" s="250"/>
      <c r="D16" s="250"/>
      <c r="E16" s="250"/>
      <c r="F16" s="250"/>
      <c r="G16"/>
      <c r="H16" s="49"/>
    </row>
    <row r="17" spans="1:8" ht="20.100000000000001" customHeight="1" x14ac:dyDescent="0.3">
      <c r="A17" s="242" t="s">
        <v>8</v>
      </c>
      <c r="B17" s="242"/>
      <c r="C17" s="242"/>
      <c r="D17" s="242"/>
      <c r="E17" s="242"/>
      <c r="F17" s="242"/>
      <c r="G17"/>
      <c r="H17" s="49"/>
    </row>
    <row r="18" spans="1:8" ht="39.6" customHeight="1" x14ac:dyDescent="0.3">
      <c r="A18" s="251" t="s">
        <v>9</v>
      </c>
      <c r="B18" s="251"/>
      <c r="C18" s="247"/>
      <c r="D18" s="247"/>
      <c r="E18" s="247"/>
      <c r="F18" s="247"/>
      <c r="G18"/>
      <c r="H18" s="49" t="s">
        <v>10</v>
      </c>
    </row>
    <row r="19" spans="1:8" ht="20.100000000000001" customHeight="1" x14ac:dyDescent="0.3">
      <c r="A19" s="256"/>
      <c r="B19" s="257"/>
      <c r="C19" s="50" t="s">
        <v>104</v>
      </c>
      <c r="D19" s="50" t="s">
        <v>101</v>
      </c>
      <c r="E19" s="50" t="s">
        <v>102</v>
      </c>
      <c r="F19" s="50" t="s">
        <v>103</v>
      </c>
      <c r="G19"/>
      <c r="H19" s="49"/>
    </row>
    <row r="20" spans="1:8" ht="20.100000000000001" customHeight="1" x14ac:dyDescent="0.3">
      <c r="A20" s="253" t="s">
        <v>106</v>
      </c>
      <c r="B20" s="254"/>
      <c r="C20" s="52"/>
      <c r="D20" s="52"/>
      <c r="E20" s="52"/>
      <c r="F20" s="52"/>
      <c r="G20"/>
      <c r="H20" s="49"/>
    </row>
    <row r="21" spans="1:8" ht="20.100000000000001" customHeight="1" x14ac:dyDescent="0.3">
      <c r="A21" s="253" t="s">
        <v>105</v>
      </c>
      <c r="B21" s="254"/>
      <c r="C21" s="52"/>
      <c r="D21" s="52"/>
      <c r="E21" s="52"/>
      <c r="F21" s="52"/>
      <c r="G21"/>
      <c r="H21" s="49"/>
    </row>
    <row r="22" spans="1:8" ht="20.100000000000001" customHeight="1" x14ac:dyDescent="0.3">
      <c r="A22" s="240" t="s">
        <v>11</v>
      </c>
      <c r="B22" s="240"/>
      <c r="C22" s="53"/>
      <c r="D22" s="53"/>
      <c r="E22" s="53"/>
      <c r="F22" s="53"/>
      <c r="G22"/>
      <c r="H22" s="47"/>
    </row>
    <row r="23" spans="1:8" ht="20.100000000000001" customHeight="1" x14ac:dyDescent="0.3">
      <c r="A23" s="240" t="s">
        <v>12</v>
      </c>
      <c r="B23" s="240"/>
      <c r="C23" s="54"/>
      <c r="D23" s="54"/>
      <c r="E23" s="54"/>
      <c r="F23" s="54"/>
    </row>
    <row r="24" spans="1:8" ht="20.100000000000001" customHeight="1" x14ac:dyDescent="0.3">
      <c r="A24" s="258" t="s">
        <v>13</v>
      </c>
      <c r="B24" s="258"/>
      <c r="C24" s="55"/>
      <c r="D24" s="55"/>
      <c r="E24" s="55"/>
      <c r="F24" s="55"/>
    </row>
    <row r="25" spans="1:8" ht="20.100000000000001" customHeight="1" x14ac:dyDescent="0.3">
      <c r="A25" s="258" t="s">
        <v>14</v>
      </c>
      <c r="B25" s="258"/>
      <c r="C25" s="56"/>
      <c r="D25" s="56"/>
      <c r="E25" s="56"/>
      <c r="F25" s="56"/>
    </row>
    <row r="26" spans="1:8" ht="20.100000000000001" customHeight="1" x14ac:dyDescent="0.3">
      <c r="A26" s="258" t="s">
        <v>15</v>
      </c>
      <c r="B26" s="258"/>
      <c r="C26" s="57"/>
      <c r="D26" s="57"/>
      <c r="E26" s="57"/>
      <c r="F26" s="57"/>
    </row>
    <row r="27" spans="1:8" ht="20.100000000000001" customHeight="1" x14ac:dyDescent="0.3">
      <c r="A27" s="240" t="s">
        <v>16</v>
      </c>
      <c r="B27" s="240"/>
      <c r="C27" s="32"/>
      <c r="D27" s="32"/>
      <c r="E27" s="32"/>
      <c r="F27" s="32"/>
    </row>
    <row r="28" spans="1:8" ht="104.25" customHeight="1" x14ac:dyDescent="0.3">
      <c r="A28" s="255" t="s">
        <v>17</v>
      </c>
      <c r="B28" s="255"/>
      <c r="C28" s="252"/>
      <c r="D28" s="252"/>
      <c r="E28" s="252"/>
      <c r="F28" s="252"/>
    </row>
  </sheetData>
  <sheetProtection algorithmName="SHA-512" hashValue="C/M28oU3W26P8ptk1m3YhlN5fNCR3GFJ+jhrtEqbjYtPtYYYj3ynOwkoyQdH386mRqA0cJyBJlMDhtA3VJhk2Q==" saltValue="paPt7h6NdwWf0Y/hXb+HOw==" spinCount="100000" sheet="1" objects="1" scenarios="1" selectLockedCells="1"/>
  <mergeCells count="37">
    <mergeCell ref="C28:F28"/>
    <mergeCell ref="A21:B21"/>
    <mergeCell ref="A20:B20"/>
    <mergeCell ref="A28:B28"/>
    <mergeCell ref="A19:B19"/>
    <mergeCell ref="A26:B26"/>
    <mergeCell ref="A27:B27"/>
    <mergeCell ref="A22:B22"/>
    <mergeCell ref="A23:B23"/>
    <mergeCell ref="A24:B24"/>
    <mergeCell ref="A25:B25"/>
    <mergeCell ref="A16:B16"/>
    <mergeCell ref="A10:B10"/>
    <mergeCell ref="C18:F18"/>
    <mergeCell ref="C10:F10"/>
    <mergeCell ref="C11:F11"/>
    <mergeCell ref="C12:F12"/>
    <mergeCell ref="C13:F13"/>
    <mergeCell ref="C14:F14"/>
    <mergeCell ref="C15:F15"/>
    <mergeCell ref="C16:F16"/>
    <mergeCell ref="A17:F17"/>
    <mergeCell ref="A13:B13"/>
    <mergeCell ref="A18:B18"/>
    <mergeCell ref="A3:F3"/>
    <mergeCell ref="A5:F6"/>
    <mergeCell ref="A14:B14"/>
    <mergeCell ref="A15:B15"/>
    <mergeCell ref="A2:F2"/>
    <mergeCell ref="A7:F7"/>
    <mergeCell ref="C8:F8"/>
    <mergeCell ref="A8:B8"/>
    <mergeCell ref="A12:B12"/>
    <mergeCell ref="A4:F4"/>
    <mergeCell ref="C9:F9"/>
    <mergeCell ref="A9:B9"/>
    <mergeCell ref="A11:B1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4"/>
  <sheetViews>
    <sheetView zoomScaleNormal="100" workbookViewId="0">
      <selection activeCell="D9" sqref="D9"/>
    </sheetView>
  </sheetViews>
  <sheetFormatPr defaultColWidth="9.109375" defaultRowHeight="14.4" x14ac:dyDescent="0.3"/>
  <cols>
    <col min="1" max="1" width="29.88671875" customWidth="1"/>
    <col min="2" max="2" width="26.33203125" customWidth="1"/>
    <col min="3" max="3" width="26.109375" customWidth="1"/>
    <col min="4" max="4" width="23.5546875" customWidth="1"/>
    <col min="5" max="5" width="50.6640625" customWidth="1"/>
  </cols>
  <sheetData>
    <row r="1" spans="1:4" ht="31.2" x14ac:dyDescent="0.6">
      <c r="A1" s="34" t="s">
        <v>281</v>
      </c>
    </row>
    <row r="2" spans="1:4" x14ac:dyDescent="0.3">
      <c r="A2" s="35" t="s">
        <v>18</v>
      </c>
      <c r="B2">
        <f>'Project Details'!C8</f>
        <v>0</v>
      </c>
    </row>
    <row r="3" spans="1:4" x14ac:dyDescent="0.3">
      <c r="A3" s="35" t="s">
        <v>19</v>
      </c>
      <c r="B3">
        <f>'Project Details'!C9</f>
        <v>0</v>
      </c>
    </row>
    <row r="4" spans="1:4" x14ac:dyDescent="0.3">
      <c r="A4" s="35" t="s">
        <v>20</v>
      </c>
    </row>
    <row r="6" spans="1:4" ht="31.2" x14ac:dyDescent="0.6">
      <c r="B6" s="259" t="s">
        <v>21</v>
      </c>
      <c r="C6" s="259"/>
      <c r="D6" s="259"/>
    </row>
    <row r="7" spans="1:4" ht="18" x14ac:dyDescent="0.35">
      <c r="A7" s="36"/>
      <c r="B7" s="37" t="s">
        <v>22</v>
      </c>
      <c r="C7" s="37" t="s">
        <v>23</v>
      </c>
      <c r="D7" s="37" t="s">
        <v>24</v>
      </c>
    </row>
    <row r="8" spans="1:4" ht="18" x14ac:dyDescent="0.35">
      <c r="A8" s="38" t="s">
        <v>107</v>
      </c>
      <c r="B8" s="236">
        <v>40</v>
      </c>
      <c r="C8" s="39">
        <f>'1. Energy Efficiency'!F2</f>
        <v>0</v>
      </c>
      <c r="D8" s="32"/>
    </row>
    <row r="9" spans="1:4" ht="18" x14ac:dyDescent="0.35">
      <c r="A9" s="40" t="s">
        <v>29</v>
      </c>
      <c r="B9" s="236">
        <v>8</v>
      </c>
      <c r="C9" s="39">
        <f>'2. Carbon'!H2</f>
        <v>0</v>
      </c>
      <c r="D9" s="32"/>
    </row>
    <row r="10" spans="1:4" ht="18" x14ac:dyDescent="0.35">
      <c r="A10" s="41" t="s">
        <v>25</v>
      </c>
      <c r="B10" s="236">
        <v>6</v>
      </c>
      <c r="C10" s="39">
        <f>'3. Resilience'!F2</f>
        <v>0</v>
      </c>
      <c r="D10" s="32"/>
    </row>
    <row r="11" spans="1:4" ht="18" x14ac:dyDescent="0.35">
      <c r="A11" s="42" t="s">
        <v>109</v>
      </c>
      <c r="B11" s="236">
        <v>3</v>
      </c>
      <c r="C11" s="39">
        <f>'4. Health and Wellbeing'!H2</f>
        <v>0</v>
      </c>
      <c r="D11" s="32"/>
    </row>
    <row r="12" spans="1:4" ht="18" x14ac:dyDescent="0.35">
      <c r="A12" s="43" t="s">
        <v>26</v>
      </c>
      <c r="B12" s="236">
        <v>9</v>
      </c>
      <c r="C12" s="39">
        <f>'5. Intelligence'!F2</f>
        <v>0</v>
      </c>
      <c r="D12" s="32"/>
    </row>
    <row r="13" spans="1:4" ht="18" x14ac:dyDescent="0.35">
      <c r="A13" s="44" t="s">
        <v>108</v>
      </c>
      <c r="B13" s="236">
        <v>9</v>
      </c>
      <c r="C13" s="39">
        <f>'6. Maintainability'!F2</f>
        <v>0</v>
      </c>
      <c r="D13" s="32"/>
    </row>
    <row r="14" spans="1:4" ht="18" x14ac:dyDescent="0.35">
      <c r="A14" s="45" t="s">
        <v>28</v>
      </c>
      <c r="B14" s="37">
        <f>SUM(B8:B13)</f>
        <v>75</v>
      </c>
      <c r="C14" s="39">
        <f>SUM(C8:C13)</f>
        <v>0</v>
      </c>
      <c r="D14" s="32"/>
    </row>
  </sheetData>
  <sheetProtection algorithmName="SHA-512" hashValue="ciP8VnZk/Z9B6KqAeyosVelMjdK6tgXTRbaUC7BmBB/JOhwd5q4LKpdQPxAnKjjUSCkAStEeLQlw57SH2lAGPw==" saltValue="D04yu6ILF4AczUN2slcMcg==" spinCount="100000" sheet="1" objects="1" scenarios="1" selectLockedCells="1"/>
  <mergeCells count="1">
    <mergeCell ref="B6:D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25"/>
  <sheetViews>
    <sheetView zoomScaleNormal="100" workbookViewId="0">
      <selection activeCell="C5" sqref="C5"/>
    </sheetView>
  </sheetViews>
  <sheetFormatPr defaultColWidth="9.109375" defaultRowHeight="14.4" x14ac:dyDescent="0.3"/>
  <cols>
    <col min="1" max="1" width="8.6640625" style="4" customWidth="1"/>
    <col min="2" max="2" width="65.6640625" customWidth="1"/>
    <col min="3" max="3" width="10.6640625" customWidth="1"/>
    <col min="4" max="4" width="15.109375" bestFit="1" customWidth="1"/>
    <col min="5" max="5" width="21.44140625" style="4" customWidth="1"/>
    <col min="6" max="6" width="13.77734375" style="4" bestFit="1" customWidth="1"/>
    <col min="7" max="7" width="34.33203125" customWidth="1"/>
    <col min="8" max="8" width="14.109375" customWidth="1"/>
    <col min="9" max="9" width="14.33203125" hidden="1" customWidth="1"/>
    <col min="10" max="11" width="0" hidden="1" customWidth="1"/>
  </cols>
  <sheetData>
    <row r="1" spans="1:10" ht="31.2" x14ac:dyDescent="0.3">
      <c r="A1" s="264" t="s">
        <v>31</v>
      </c>
      <c r="B1" s="264"/>
      <c r="C1" s="6" t="s">
        <v>32</v>
      </c>
      <c r="D1" s="6" t="s">
        <v>33</v>
      </c>
      <c r="E1" s="13" t="s">
        <v>44</v>
      </c>
      <c r="F1" s="6" t="s">
        <v>45</v>
      </c>
      <c r="G1" s="17" t="s">
        <v>46</v>
      </c>
      <c r="I1" s="14" t="s">
        <v>123</v>
      </c>
    </row>
    <row r="2" spans="1:10" ht="21" x14ac:dyDescent="0.3">
      <c r="A2" s="263" t="s">
        <v>34</v>
      </c>
      <c r="B2" s="263"/>
      <c r="C2" s="19"/>
      <c r="D2" s="19"/>
      <c r="E2" s="25">
        <v>40</v>
      </c>
      <c r="F2" s="26">
        <f>MIN(SUM(F7+F11+F16+F19+F22+F25),40)</f>
        <v>0</v>
      </c>
      <c r="G2" s="25" t="s">
        <v>47</v>
      </c>
    </row>
    <row r="3" spans="1:10" ht="15.6" x14ac:dyDescent="0.3">
      <c r="A3" s="18"/>
      <c r="B3" s="7" t="s">
        <v>35</v>
      </c>
      <c r="C3" s="3"/>
      <c r="D3" s="8" t="s">
        <v>36</v>
      </c>
      <c r="F3" s="18"/>
      <c r="G3" s="32"/>
    </row>
    <row r="4" spans="1:10" ht="15.6" x14ac:dyDescent="0.3">
      <c r="A4" s="27" t="s">
        <v>139</v>
      </c>
      <c r="B4" s="20" t="s">
        <v>138</v>
      </c>
      <c r="C4" s="20"/>
      <c r="D4" s="20"/>
      <c r="E4" s="20"/>
      <c r="F4" s="20"/>
      <c r="G4" s="20"/>
      <c r="I4" t="s">
        <v>282</v>
      </c>
      <c r="J4" t="s">
        <v>283</v>
      </c>
    </row>
    <row r="5" spans="1:10" ht="15.6" x14ac:dyDescent="0.3">
      <c r="A5" s="18" t="s">
        <v>117</v>
      </c>
      <c r="B5" s="7" t="s">
        <v>119</v>
      </c>
      <c r="C5" s="3"/>
      <c r="D5" s="8" t="s">
        <v>37</v>
      </c>
      <c r="E5" s="18">
        <v>20</v>
      </c>
      <c r="F5" s="31">
        <f>MIN(_xlfn.IFS(C5=0,0,C5&lt;=1.39, J5,C5&lt;=1.46,I5),20)</f>
        <v>0</v>
      </c>
      <c r="G5" s="32"/>
      <c r="I5">
        <f>10+71*(1.46-C5)</f>
        <v>113.66</v>
      </c>
      <c r="J5">
        <f>15+27*(1.39-C5)</f>
        <v>52.529999999999994</v>
      </c>
    </row>
    <row r="6" spans="1:10" ht="15.6" x14ac:dyDescent="0.3">
      <c r="A6" s="18" t="s">
        <v>118</v>
      </c>
      <c r="B6" s="7" t="s">
        <v>120</v>
      </c>
      <c r="C6" s="188" t="s">
        <v>48</v>
      </c>
      <c r="D6" s="188"/>
      <c r="E6" s="189"/>
      <c r="F6" s="189"/>
      <c r="G6" s="190"/>
    </row>
    <row r="7" spans="1:10" s="5" customFormat="1" ht="15.6" x14ac:dyDescent="0.3">
      <c r="A7" s="22"/>
      <c r="B7" s="260" t="s">
        <v>124</v>
      </c>
      <c r="C7" s="261"/>
      <c r="D7" s="261"/>
      <c r="E7" s="262"/>
      <c r="F7" s="23">
        <f>F5</f>
        <v>0</v>
      </c>
      <c r="G7" s="24"/>
      <c r="H7"/>
    </row>
    <row r="8" spans="1:10" ht="15.6" x14ac:dyDescent="0.3">
      <c r="A8" s="27" t="s">
        <v>140</v>
      </c>
      <c r="B8" s="20" t="s">
        <v>141</v>
      </c>
      <c r="C8" s="21"/>
      <c r="D8" s="21"/>
      <c r="E8" s="20"/>
      <c r="F8" s="20"/>
      <c r="G8" s="20"/>
    </row>
    <row r="9" spans="1:10" ht="15.6" x14ac:dyDescent="0.3">
      <c r="A9" s="9"/>
      <c r="B9" s="10" t="s">
        <v>121</v>
      </c>
      <c r="C9" s="3"/>
      <c r="D9" s="8" t="s">
        <v>37</v>
      </c>
      <c r="E9" s="18">
        <v>10</v>
      </c>
      <c r="F9" s="18">
        <f>IF(MIN(IF(C9&gt;0, I9,0),10)&gt;0,MIN(IF(C9&gt;0, I9,0),10),0)</f>
        <v>0</v>
      </c>
      <c r="G9" s="33"/>
      <c r="I9">
        <f>3+33*(0.74-C9)</f>
        <v>27.419999999999998</v>
      </c>
    </row>
    <row r="10" spans="1:10" ht="15.6" x14ac:dyDescent="0.3">
      <c r="A10" s="9"/>
      <c r="B10" s="11" t="s">
        <v>122</v>
      </c>
      <c r="C10" s="3"/>
      <c r="D10" s="8" t="s">
        <v>37</v>
      </c>
      <c r="E10" s="18">
        <v>10</v>
      </c>
      <c r="F10" s="18">
        <f>IF(MIN(IF(C10&gt;0,I10,0),10)&gt;0,MIN(IF(C10&gt;0,I10,0),10),0)</f>
        <v>0</v>
      </c>
      <c r="G10" s="32"/>
      <c r="I10">
        <f>3+100*(0.18-C10)</f>
        <v>21</v>
      </c>
    </row>
    <row r="11" spans="1:10" s="5" customFormat="1" ht="15.6" x14ac:dyDescent="0.3">
      <c r="A11" s="22"/>
      <c r="B11" s="260" t="s">
        <v>125</v>
      </c>
      <c r="C11" s="261"/>
      <c r="D11" s="261"/>
      <c r="E11" s="262"/>
      <c r="F11" s="23">
        <f>IF(F9&gt;0, F9,F10)</f>
        <v>0</v>
      </c>
      <c r="G11" s="24"/>
      <c r="H11"/>
    </row>
    <row r="12" spans="1:10" ht="15.6" x14ac:dyDescent="0.3">
      <c r="A12" s="27" t="s">
        <v>143</v>
      </c>
      <c r="B12" s="20" t="s">
        <v>142</v>
      </c>
      <c r="C12" s="21"/>
      <c r="D12" s="21"/>
      <c r="E12" s="20"/>
      <c r="F12" s="20"/>
      <c r="G12" s="20"/>
    </row>
    <row r="13" spans="1:10" ht="15.6" x14ac:dyDescent="0.3">
      <c r="A13" s="9" t="s">
        <v>117</v>
      </c>
      <c r="B13" s="11" t="s">
        <v>126</v>
      </c>
      <c r="C13" s="3"/>
      <c r="D13" s="8" t="s">
        <v>36</v>
      </c>
      <c r="E13" s="18">
        <v>1.5</v>
      </c>
      <c r="F13" s="18">
        <f>IF(C13="Y",1.5,0)</f>
        <v>0</v>
      </c>
      <c r="G13" s="32"/>
    </row>
    <row r="14" spans="1:10" ht="15.6" x14ac:dyDescent="0.3">
      <c r="A14" s="9" t="s">
        <v>118</v>
      </c>
      <c r="B14" s="11" t="s">
        <v>127</v>
      </c>
      <c r="C14" s="188" t="s">
        <v>48</v>
      </c>
      <c r="D14" s="188"/>
      <c r="E14" s="189"/>
      <c r="F14" s="189"/>
      <c r="G14" s="190"/>
    </row>
    <row r="15" spans="1:10" ht="17.399999999999999" x14ac:dyDescent="0.3">
      <c r="A15" s="9" t="s">
        <v>128</v>
      </c>
      <c r="B15" s="11" t="s">
        <v>129</v>
      </c>
      <c r="C15" s="3"/>
      <c r="D15" s="8" t="s">
        <v>130</v>
      </c>
      <c r="E15" s="18">
        <v>1.5</v>
      </c>
      <c r="F15" s="18" cm="1">
        <f t="array" ref="F15">_xlfn.IFS(C15&lt;24,0,C15&lt;25,0.25,C15&lt;26,0.5,C15&lt;27,1,C15&gt;26.99,1.5)</f>
        <v>0</v>
      </c>
      <c r="G15" s="32"/>
    </row>
    <row r="16" spans="1:10" ht="15.6" x14ac:dyDescent="0.3">
      <c r="A16" s="22"/>
      <c r="B16" s="260" t="s">
        <v>131</v>
      </c>
      <c r="C16" s="261"/>
      <c r="D16" s="261"/>
      <c r="E16" s="262"/>
      <c r="F16" s="23">
        <f>F13+F15</f>
        <v>0</v>
      </c>
      <c r="G16" s="24"/>
    </row>
    <row r="17" spans="1:9" ht="15.6" x14ac:dyDescent="0.3">
      <c r="A17" s="27" t="s">
        <v>144</v>
      </c>
      <c r="B17" s="20" t="s">
        <v>145</v>
      </c>
      <c r="C17" s="20"/>
      <c r="D17" s="21"/>
      <c r="E17" s="20"/>
      <c r="F17" s="20"/>
      <c r="G17" s="20"/>
    </row>
    <row r="18" spans="1:9" ht="15.6" x14ac:dyDescent="0.3">
      <c r="A18" s="9"/>
      <c r="B18" s="12" t="s">
        <v>132</v>
      </c>
      <c r="C18" s="3"/>
      <c r="D18" s="8" t="s">
        <v>40</v>
      </c>
      <c r="E18" s="18">
        <v>4</v>
      </c>
      <c r="F18" s="18">
        <f>MIN(IF(C18&gt;=85, I18,0),4)</f>
        <v>0</v>
      </c>
      <c r="G18" s="32"/>
      <c r="I18">
        <f>0.3*(C18-85)+1</f>
        <v>-24.5</v>
      </c>
    </row>
    <row r="19" spans="1:9" ht="15.6" x14ac:dyDescent="0.3">
      <c r="A19" s="22"/>
      <c r="B19" s="260" t="s">
        <v>133</v>
      </c>
      <c r="C19" s="261"/>
      <c r="D19" s="261"/>
      <c r="E19" s="262"/>
      <c r="F19" s="23">
        <f>F18</f>
        <v>0</v>
      </c>
      <c r="G19" s="24"/>
    </row>
    <row r="20" spans="1:9" ht="15.6" x14ac:dyDescent="0.3">
      <c r="A20" s="27" t="s">
        <v>146</v>
      </c>
      <c r="B20" s="20" t="s">
        <v>147</v>
      </c>
      <c r="C20" s="20"/>
      <c r="D20" s="21"/>
      <c r="E20" s="20"/>
      <c r="F20" s="20"/>
      <c r="G20" s="20"/>
    </row>
    <row r="21" spans="1:9" ht="15.6" x14ac:dyDescent="0.3">
      <c r="A21" s="9"/>
      <c r="B21" s="12" t="s">
        <v>135</v>
      </c>
      <c r="C21" s="3"/>
      <c r="D21" s="8" t="s">
        <v>36</v>
      </c>
      <c r="E21" s="18">
        <v>2</v>
      </c>
      <c r="F21" s="18">
        <f>IF(C21="Y",2,0)</f>
        <v>0</v>
      </c>
      <c r="G21" s="32"/>
    </row>
    <row r="22" spans="1:9" ht="15.6" x14ac:dyDescent="0.3">
      <c r="A22" s="22"/>
      <c r="B22" s="260" t="s">
        <v>134</v>
      </c>
      <c r="C22" s="261"/>
      <c r="D22" s="261"/>
      <c r="E22" s="262"/>
      <c r="F22" s="23">
        <f>F21</f>
        <v>0</v>
      </c>
      <c r="G22" s="24"/>
    </row>
    <row r="23" spans="1:9" ht="15.6" x14ac:dyDescent="0.3">
      <c r="A23" s="27" t="s">
        <v>148</v>
      </c>
      <c r="B23" s="20" t="s">
        <v>149</v>
      </c>
      <c r="C23" s="20"/>
      <c r="D23" s="21"/>
      <c r="E23" s="20"/>
      <c r="F23" s="20"/>
      <c r="G23" s="20"/>
    </row>
    <row r="24" spans="1:9" ht="46.8" x14ac:dyDescent="0.3">
      <c r="A24" s="9"/>
      <c r="B24" s="12" t="s">
        <v>279</v>
      </c>
      <c r="C24" s="3"/>
      <c r="D24" s="8" t="s">
        <v>40</v>
      </c>
      <c r="E24" s="18">
        <v>1</v>
      </c>
      <c r="F24" s="18">
        <f>MIN(IF(C24&gt;=0.01, I24,0),1)</f>
        <v>0</v>
      </c>
      <c r="G24" s="32"/>
      <c r="I24">
        <f>0.25*C24*100</f>
        <v>0</v>
      </c>
    </row>
    <row r="25" spans="1:9" ht="15.6" x14ac:dyDescent="0.3">
      <c r="A25" s="22"/>
      <c r="B25" s="260" t="s">
        <v>136</v>
      </c>
      <c r="C25" s="261"/>
      <c r="D25" s="261"/>
      <c r="E25" s="262"/>
      <c r="F25" s="23">
        <f>F24</f>
        <v>0</v>
      </c>
      <c r="G25" s="24"/>
    </row>
  </sheetData>
  <sheetProtection algorithmName="SHA-512" hashValue="V7A3JOqLNlGQgWZlz5wBcVZKpbKFyVGFK+nVoW8M8vQHvwQ+H9YCAhJCf88jsG6ohiQbc69MjIsShCOoX71B7Q==" saltValue="q8oEMUE5a/GeqwcYrNjCVw==" spinCount="100000" sheet="1" objects="1" scenarios="1" selectLockedCells="1"/>
  <mergeCells count="8">
    <mergeCell ref="B25:E25"/>
    <mergeCell ref="A2:B2"/>
    <mergeCell ref="A1:B1"/>
    <mergeCell ref="B7:E7"/>
    <mergeCell ref="B11:E11"/>
    <mergeCell ref="B16:E16"/>
    <mergeCell ref="B19:E19"/>
    <mergeCell ref="B22:E22"/>
  </mergeCells>
  <conditionalFormatting sqref="C9">
    <cfRule type="expression" dxfId="1" priority="2">
      <formula>$C$3="Y"</formula>
    </cfRule>
  </conditionalFormatting>
  <conditionalFormatting sqref="C10">
    <cfRule type="expression" dxfId="0" priority="1">
      <formula>$C$3="N"</formula>
    </cfRule>
  </conditionalFormatting>
  <dataValidations count="5">
    <dataValidation type="list" allowBlank="1" showInputMessage="1" showErrorMessage="1" sqref="C13 C21 C3" xr:uid="{00000000-0002-0000-0200-000001000000}">
      <formula1>"Y,N"</formula1>
    </dataValidation>
    <dataValidation type="decimal" allowBlank="1" showInputMessage="1" showErrorMessage="1" sqref="C5 C18 C15" xr:uid="{00000000-0002-0000-0200-000002000000}">
      <formula1>0</formula1>
      <formula2>1000</formula2>
    </dataValidation>
    <dataValidation type="custom" showInputMessage="1" showErrorMessage="1" sqref="C10" xr:uid="{409F475B-D7F5-476F-80FC-7F01890029A2}">
      <formula1>$C$3="Y"</formula1>
    </dataValidation>
    <dataValidation type="custom" allowBlank="1" showInputMessage="1" showErrorMessage="1" sqref="C9" xr:uid="{33B5D3D4-7EE5-4492-8315-5E95A9F6D48E}">
      <formula1>$C$3="N"</formula1>
    </dataValidation>
    <dataValidation type="custom" allowBlank="1" showInputMessage="1" showErrorMessage="1" sqref="G9" xr:uid="{F10FDD91-7091-42A0-AC57-DF4EC6156C0C}">
      <formula1>NOT(G9&lt;0)</formula1>
    </dataValidation>
  </dataValidations>
  <pageMargins left="0.7" right="0.7" top="0.75" bottom="0.75" header="0.3" footer="0.3"/>
  <pageSetup paperSize="9" scale="52" orientation="portrait" r:id="rId1"/>
  <colBreaks count="1" manualBreakCount="1">
    <brk id="7" max="23"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49"/>
  <sheetViews>
    <sheetView topLeftCell="A26" zoomScaleNormal="100" workbookViewId="0">
      <selection activeCell="E35" sqref="E35:E41"/>
    </sheetView>
  </sheetViews>
  <sheetFormatPr defaultColWidth="9.109375" defaultRowHeight="14.4" x14ac:dyDescent="0.3"/>
  <cols>
    <col min="1" max="1" width="8.33203125" customWidth="1"/>
    <col min="2" max="2" width="38.6640625" customWidth="1"/>
    <col min="3" max="3" width="17.21875" customWidth="1"/>
    <col min="4" max="4" width="21.109375" customWidth="1"/>
    <col min="5" max="5" width="11.44140625" style="14" customWidth="1"/>
    <col min="6" max="6" width="20" style="35" customWidth="1"/>
    <col min="7" max="7" width="18.109375" customWidth="1"/>
    <col min="8" max="8" width="11.109375" customWidth="1"/>
    <col min="9" max="9" width="30.6640625" customWidth="1"/>
    <col min="10" max="10" width="12" customWidth="1"/>
    <col min="11" max="12" width="10.77734375" hidden="1" customWidth="1"/>
    <col min="13" max="13" width="17.33203125" hidden="1" customWidth="1"/>
    <col min="14" max="17" width="0" hidden="1" customWidth="1"/>
  </cols>
  <sheetData>
    <row r="1" spans="1:9" ht="31.2" x14ac:dyDescent="0.3">
      <c r="A1" s="59"/>
      <c r="B1" s="277" t="s">
        <v>137</v>
      </c>
      <c r="C1" s="278"/>
      <c r="D1" s="279"/>
      <c r="E1" s="6" t="s">
        <v>32</v>
      </c>
      <c r="F1" s="6" t="s">
        <v>33</v>
      </c>
      <c r="G1" s="13" t="s">
        <v>44</v>
      </c>
      <c r="H1" s="6" t="s">
        <v>45</v>
      </c>
      <c r="I1" s="17" t="s">
        <v>46</v>
      </c>
    </row>
    <row r="2" spans="1:9" ht="21" x14ac:dyDescent="0.3">
      <c r="A2" s="282" t="s">
        <v>29</v>
      </c>
      <c r="B2" s="283"/>
      <c r="C2" s="283"/>
      <c r="D2" s="283"/>
      <c r="E2" s="283"/>
      <c r="F2" s="284"/>
      <c r="G2" s="60">
        <v>8</v>
      </c>
      <c r="H2" s="61">
        <f>MIN(SUM(H16,H33,H42,H45,H49),8)</f>
        <v>0</v>
      </c>
      <c r="I2" s="62" t="s">
        <v>47</v>
      </c>
    </row>
    <row r="3" spans="1:9" ht="15.6" x14ac:dyDescent="0.3">
      <c r="A3" s="63" t="s">
        <v>57</v>
      </c>
      <c r="B3" s="285" t="s">
        <v>150</v>
      </c>
      <c r="C3" s="285"/>
      <c r="D3" s="286"/>
      <c r="E3" s="64"/>
      <c r="F3" s="63"/>
      <c r="G3" s="63"/>
      <c r="H3" s="65"/>
      <c r="I3" s="63"/>
    </row>
    <row r="4" spans="1:9" ht="15.6" x14ac:dyDescent="0.3">
      <c r="A4" s="58" t="s">
        <v>117</v>
      </c>
      <c r="B4" s="287" t="s">
        <v>151</v>
      </c>
      <c r="C4" s="287"/>
      <c r="D4" s="287"/>
      <c r="E4" s="16"/>
      <c r="F4" s="67" t="s">
        <v>36</v>
      </c>
      <c r="G4" s="58">
        <v>0.5</v>
      </c>
      <c r="H4" s="68">
        <f>IF(E4="Y", 0.5, 0)</f>
        <v>0</v>
      </c>
      <c r="I4" s="98"/>
    </row>
    <row r="5" spans="1:9" ht="49.2" customHeight="1" x14ac:dyDescent="0.3">
      <c r="A5" s="304" t="s">
        <v>118</v>
      </c>
      <c r="B5" s="291" t="s">
        <v>61</v>
      </c>
      <c r="C5" s="291"/>
      <c r="D5" s="291"/>
      <c r="E5" s="191"/>
      <c r="F5" s="192"/>
      <c r="G5" s="193"/>
      <c r="H5" s="194"/>
      <c r="I5" s="195"/>
    </row>
    <row r="6" spans="1:9" ht="33" customHeight="1" x14ac:dyDescent="0.3">
      <c r="A6" s="305"/>
      <c r="B6" s="303" t="s">
        <v>152</v>
      </c>
      <c r="C6" s="303"/>
      <c r="D6" s="303"/>
      <c r="E6" s="16"/>
      <c r="F6" s="67" t="s">
        <v>37</v>
      </c>
      <c r="G6" s="72">
        <v>0.5</v>
      </c>
      <c r="H6" s="73" cm="1">
        <f t="array" ref="H6">IF(E6=FALSE,0,_xlfn.IFS(E6="2 ticks",0.2,E6="3 ticks",0.3,E6="4 ticks",0.5))</f>
        <v>0</v>
      </c>
      <c r="I6" s="98"/>
    </row>
    <row r="7" spans="1:9" ht="84" customHeight="1" x14ac:dyDescent="0.3">
      <c r="A7" s="304" t="s">
        <v>128</v>
      </c>
      <c r="B7" s="307" t="s">
        <v>93</v>
      </c>
      <c r="C7" s="269"/>
      <c r="D7" s="308"/>
      <c r="E7" s="191"/>
      <c r="F7" s="192"/>
      <c r="G7" s="196"/>
      <c r="H7" s="197"/>
      <c r="I7" s="198"/>
    </row>
    <row r="8" spans="1:9" ht="15.6" x14ac:dyDescent="0.3">
      <c r="A8" s="306"/>
      <c r="B8" s="309" t="s">
        <v>94</v>
      </c>
      <c r="C8" s="309"/>
      <c r="D8" s="309"/>
      <c r="E8" s="16"/>
      <c r="F8" s="67" t="s">
        <v>37</v>
      </c>
      <c r="G8" s="74" t="s">
        <v>48</v>
      </c>
      <c r="H8" s="75"/>
      <c r="I8" s="97"/>
    </row>
    <row r="9" spans="1:9" ht="15.6" x14ac:dyDescent="0.3">
      <c r="A9" s="306"/>
      <c r="B9" s="269" t="s">
        <v>95</v>
      </c>
      <c r="C9" s="269"/>
      <c r="D9" s="269"/>
      <c r="E9" s="16"/>
      <c r="F9" s="67" t="s">
        <v>40</v>
      </c>
      <c r="G9" s="288">
        <v>0.25</v>
      </c>
      <c r="H9" s="293">
        <f>IF(AND(E9&gt;=20,E10="Y"),0.25,0)</f>
        <v>0</v>
      </c>
      <c r="I9" s="271"/>
    </row>
    <row r="10" spans="1:9" ht="15.6" x14ac:dyDescent="0.3">
      <c r="A10" s="306"/>
      <c r="B10" s="269" t="s">
        <v>96</v>
      </c>
      <c r="C10" s="269"/>
      <c r="D10" s="269"/>
      <c r="E10" s="16"/>
      <c r="F10" s="67" t="s">
        <v>36</v>
      </c>
      <c r="G10" s="290"/>
      <c r="H10" s="294"/>
      <c r="I10" s="272"/>
    </row>
    <row r="11" spans="1:9" ht="15.6" x14ac:dyDescent="0.3">
      <c r="A11" s="306"/>
      <c r="B11" s="291" t="s">
        <v>153</v>
      </c>
      <c r="C11" s="291"/>
      <c r="D11" s="291"/>
      <c r="E11" s="16"/>
      <c r="F11" s="77" t="s">
        <v>40</v>
      </c>
      <c r="G11" s="288">
        <v>0.25</v>
      </c>
      <c r="H11" s="293">
        <f>IF(OR(AND(E11&gt;=10,E12="Y"),AND(E13&gt;=50,E14="Y")),0.25,0)</f>
        <v>0</v>
      </c>
      <c r="I11" s="271"/>
    </row>
    <row r="12" spans="1:9" ht="15.6" x14ac:dyDescent="0.3">
      <c r="A12" s="306"/>
      <c r="B12" s="291" t="s">
        <v>62</v>
      </c>
      <c r="C12" s="291"/>
      <c r="D12" s="291"/>
      <c r="E12" s="16"/>
      <c r="F12" s="67" t="s">
        <v>36</v>
      </c>
      <c r="G12" s="289"/>
      <c r="H12" s="295"/>
      <c r="I12" s="273"/>
    </row>
    <row r="13" spans="1:9" ht="15.6" x14ac:dyDescent="0.3">
      <c r="A13" s="306"/>
      <c r="B13" s="291" t="s">
        <v>63</v>
      </c>
      <c r="C13" s="291"/>
      <c r="D13" s="291"/>
      <c r="E13" s="16"/>
      <c r="F13" s="77" t="s">
        <v>40</v>
      </c>
      <c r="G13" s="289"/>
      <c r="H13" s="295"/>
      <c r="I13" s="273"/>
    </row>
    <row r="14" spans="1:9" ht="15.6" x14ac:dyDescent="0.3">
      <c r="A14" s="305"/>
      <c r="B14" s="291" t="s">
        <v>64</v>
      </c>
      <c r="C14" s="291"/>
      <c r="D14" s="291"/>
      <c r="E14" s="16"/>
      <c r="F14" s="67" t="s">
        <v>36</v>
      </c>
      <c r="G14" s="290"/>
      <c r="H14" s="294"/>
      <c r="I14" s="272"/>
    </row>
    <row r="15" spans="1:9" ht="53.4" customHeight="1" x14ac:dyDescent="0.3">
      <c r="A15" s="58" t="s">
        <v>154</v>
      </c>
      <c r="B15" s="296" t="s">
        <v>65</v>
      </c>
      <c r="C15" s="291"/>
      <c r="D15" s="291"/>
      <c r="E15" s="16"/>
      <c r="F15" s="77" t="s">
        <v>40</v>
      </c>
      <c r="G15" s="72">
        <v>0.5</v>
      </c>
      <c r="H15" s="78">
        <f>IF(E15&gt;=40,0.5,0)</f>
        <v>0</v>
      </c>
      <c r="I15" s="98"/>
    </row>
    <row r="16" spans="1:9" ht="15.6" x14ac:dyDescent="0.3">
      <c r="A16" s="79"/>
      <c r="B16" s="274" t="s">
        <v>155</v>
      </c>
      <c r="C16" s="275"/>
      <c r="D16" s="275"/>
      <c r="E16" s="275"/>
      <c r="F16" s="275"/>
      <c r="G16" s="276"/>
      <c r="H16" s="80">
        <f>H4+H6+H9+H11+H15</f>
        <v>0</v>
      </c>
      <c r="I16" s="81"/>
    </row>
    <row r="17" spans="1:17" ht="15.6" x14ac:dyDescent="0.3">
      <c r="A17" s="63" t="s">
        <v>60</v>
      </c>
      <c r="B17" s="285" t="s">
        <v>156</v>
      </c>
      <c r="C17" s="285"/>
      <c r="D17" s="286"/>
      <c r="E17" s="64"/>
      <c r="F17" s="63"/>
      <c r="G17" s="63"/>
      <c r="H17" s="65"/>
      <c r="I17" s="63"/>
    </row>
    <row r="18" spans="1:17" ht="49.8" customHeight="1" x14ac:dyDescent="0.3">
      <c r="A18" s="58" t="s">
        <v>117</v>
      </c>
      <c r="B18" s="297" t="s">
        <v>158</v>
      </c>
      <c r="C18" s="297"/>
      <c r="D18" s="297"/>
      <c r="E18" s="16"/>
      <c r="F18" s="77" t="s">
        <v>40</v>
      </c>
      <c r="G18" s="72">
        <v>0.5</v>
      </c>
      <c r="H18" s="82">
        <f>IF(E18&gt;=60,0.5,0)</f>
        <v>0</v>
      </c>
      <c r="I18" s="97" t="s">
        <v>159</v>
      </c>
    </row>
    <row r="19" spans="1:17" ht="15.6" customHeight="1" x14ac:dyDescent="0.3">
      <c r="A19" s="314" t="s">
        <v>118</v>
      </c>
      <c r="B19" s="317" t="s">
        <v>166</v>
      </c>
      <c r="C19" s="318"/>
      <c r="D19" s="319"/>
      <c r="E19" s="16"/>
      <c r="F19" s="77" t="s">
        <v>160</v>
      </c>
      <c r="G19" s="288">
        <v>0.5</v>
      </c>
      <c r="H19" s="298">
        <f>P19*Q19</f>
        <v>0</v>
      </c>
      <c r="I19" s="271"/>
      <c r="K19" t="s">
        <v>164</v>
      </c>
      <c r="L19" t="s">
        <v>165</v>
      </c>
      <c r="M19" t="s">
        <v>164</v>
      </c>
      <c r="N19" t="s">
        <v>165</v>
      </c>
      <c r="P19">
        <f>IF(E19=FALSE,0,VLOOKUP(E19,Table1[],2,FALSE))</f>
        <v>0</v>
      </c>
      <c r="Q19">
        <f>IF(E20=FALSE,0,VLOOKUP(E20,Table13[],2,FALSE))</f>
        <v>0</v>
      </c>
    </row>
    <row r="20" spans="1:17" ht="18.600000000000001" customHeight="1" x14ac:dyDescent="0.3">
      <c r="A20" s="315"/>
      <c r="B20" s="320"/>
      <c r="C20" s="321"/>
      <c r="D20" s="322"/>
      <c r="E20" s="16"/>
      <c r="F20" s="77" t="s">
        <v>284</v>
      </c>
      <c r="G20" s="289"/>
      <c r="H20" s="299"/>
      <c r="I20" s="272"/>
      <c r="K20" t="s">
        <v>161</v>
      </c>
      <c r="L20">
        <v>0.3</v>
      </c>
      <c r="M20" t="s">
        <v>168</v>
      </c>
      <c r="N20">
        <v>0.5</v>
      </c>
    </row>
    <row r="21" spans="1:17" ht="15.6" x14ac:dyDescent="0.3">
      <c r="A21" s="315"/>
      <c r="B21" s="320"/>
      <c r="C21" s="321"/>
      <c r="D21" s="322"/>
      <c r="E21" s="16"/>
      <c r="F21" s="77" t="s">
        <v>160</v>
      </c>
      <c r="G21" s="289"/>
      <c r="H21" s="298">
        <f>P21*Q21</f>
        <v>0</v>
      </c>
      <c r="I21" s="271"/>
      <c r="K21" t="s">
        <v>162</v>
      </c>
      <c r="L21">
        <v>0.4</v>
      </c>
      <c r="M21" t="s">
        <v>169</v>
      </c>
      <c r="N21">
        <v>0.25</v>
      </c>
      <c r="P21">
        <f>IF(E21=FALSE,0,VLOOKUP(E21,Table1[],2,FALSE))</f>
        <v>0</v>
      </c>
      <c r="Q21">
        <f>IF(E22=FALSE,0,VLOOKUP(E22,Table13[],2,FALSE))</f>
        <v>0</v>
      </c>
    </row>
    <row r="22" spans="1:17" ht="15.6" x14ac:dyDescent="0.3">
      <c r="A22" s="315"/>
      <c r="B22" s="83" t="s">
        <v>161</v>
      </c>
      <c r="C22" s="83" t="s">
        <v>162</v>
      </c>
      <c r="D22" s="83" t="s">
        <v>163</v>
      </c>
      <c r="E22" s="16"/>
      <c r="F22" s="77" t="s">
        <v>284</v>
      </c>
      <c r="G22" s="289"/>
      <c r="H22" s="299"/>
      <c r="I22" s="272"/>
      <c r="K22" t="s">
        <v>163</v>
      </c>
      <c r="L22">
        <v>0.5</v>
      </c>
    </row>
    <row r="23" spans="1:17" ht="15.6" x14ac:dyDescent="0.3">
      <c r="A23" s="315"/>
      <c r="B23" s="72">
        <v>0.3</v>
      </c>
      <c r="C23" s="72">
        <v>0.4</v>
      </c>
      <c r="D23" s="72">
        <v>0.5</v>
      </c>
      <c r="E23" s="16"/>
      <c r="F23" s="77" t="s">
        <v>160</v>
      </c>
      <c r="G23" s="289"/>
      <c r="H23" s="298">
        <f>P23*Q23</f>
        <v>0</v>
      </c>
      <c r="I23" s="271"/>
      <c r="P23">
        <f>IF(E23=FALSE,0,VLOOKUP(E23,Table1[],2,FALSE))</f>
        <v>0</v>
      </c>
      <c r="Q23">
        <f>IF(E24=FALSE,0,VLOOKUP(E24,Table13[],2,FALSE))</f>
        <v>0</v>
      </c>
    </row>
    <row r="24" spans="1:17" ht="15.6" x14ac:dyDescent="0.3">
      <c r="A24" s="315"/>
      <c r="B24" s="84"/>
      <c r="C24" s="85"/>
      <c r="D24" s="86"/>
      <c r="E24" s="16"/>
      <c r="F24" s="77" t="s">
        <v>284</v>
      </c>
      <c r="G24" s="289"/>
      <c r="H24" s="299"/>
      <c r="I24" s="272"/>
    </row>
    <row r="25" spans="1:17" ht="15.6" customHeight="1" x14ac:dyDescent="0.3">
      <c r="A25" s="315"/>
      <c r="B25" s="323" t="s">
        <v>167</v>
      </c>
      <c r="C25" s="323"/>
      <c r="D25" s="86"/>
      <c r="E25" s="16"/>
      <c r="F25" s="77" t="s">
        <v>160</v>
      </c>
      <c r="G25" s="289"/>
      <c r="H25" s="298">
        <f>P25*Q25</f>
        <v>0</v>
      </c>
      <c r="I25" s="271"/>
      <c r="P25">
        <f>IF(E25=FALSE,0,VLOOKUP(E25,Table1[],2,FALSE))</f>
        <v>0</v>
      </c>
      <c r="Q25">
        <f>IF(E26=FALSE,0,VLOOKUP(E26,Table13[],2,FALSE))</f>
        <v>0</v>
      </c>
    </row>
    <row r="26" spans="1:17" ht="15.6" x14ac:dyDescent="0.3">
      <c r="A26" s="315"/>
      <c r="B26" s="323"/>
      <c r="C26" s="323"/>
      <c r="D26" s="86"/>
      <c r="E26" s="16"/>
      <c r="F26" s="77" t="s">
        <v>284</v>
      </c>
      <c r="G26" s="289"/>
      <c r="H26" s="299"/>
      <c r="I26" s="272"/>
    </row>
    <row r="27" spans="1:17" ht="15.6" x14ac:dyDescent="0.3">
      <c r="A27" s="315"/>
      <c r="B27" s="72" t="s">
        <v>168</v>
      </c>
      <c r="C27" s="72">
        <v>0.5</v>
      </c>
      <c r="D27" s="86"/>
      <c r="E27" s="16"/>
      <c r="F27" s="77" t="s">
        <v>160</v>
      </c>
      <c r="G27" s="289"/>
      <c r="H27" s="298">
        <f>P27*Q27</f>
        <v>0</v>
      </c>
      <c r="I27" s="271"/>
      <c r="P27">
        <f>IF(E27=FALSE,0,VLOOKUP(E27,Table1[],2,FALSE))</f>
        <v>0</v>
      </c>
      <c r="Q27">
        <f>IF(E28=FALSE,0,VLOOKUP(E28,Table13[],2,FALSE))</f>
        <v>0</v>
      </c>
    </row>
    <row r="28" spans="1:17" ht="15.6" x14ac:dyDescent="0.3">
      <c r="A28" s="315"/>
      <c r="B28" s="72" t="s">
        <v>169</v>
      </c>
      <c r="C28" s="72">
        <v>0.25</v>
      </c>
      <c r="D28" s="86"/>
      <c r="E28" s="16"/>
      <c r="F28" s="77" t="s">
        <v>284</v>
      </c>
      <c r="G28" s="289"/>
      <c r="H28" s="299"/>
      <c r="I28" s="272"/>
    </row>
    <row r="29" spans="1:17" ht="15.6" x14ac:dyDescent="0.3">
      <c r="A29" s="315"/>
      <c r="B29" s="84"/>
      <c r="C29" s="85"/>
      <c r="D29" s="86"/>
      <c r="E29" s="16"/>
      <c r="F29" s="77" t="s">
        <v>160</v>
      </c>
      <c r="G29" s="289"/>
      <c r="H29" s="298">
        <f>P29*Q29</f>
        <v>0</v>
      </c>
      <c r="I29" s="271"/>
      <c r="P29">
        <f>IF(E29=FALSE,0,VLOOKUP(E29,Table1[],2,FALSE))</f>
        <v>0</v>
      </c>
      <c r="Q29">
        <f>IF(E30=FALSE,0,VLOOKUP(E30,Table13[],2,FALSE))</f>
        <v>0</v>
      </c>
    </row>
    <row r="30" spans="1:17" ht="15.6" x14ac:dyDescent="0.3">
      <c r="A30" s="315"/>
      <c r="B30" s="320" t="s">
        <v>170</v>
      </c>
      <c r="C30" s="321"/>
      <c r="D30" s="322"/>
      <c r="E30" s="16"/>
      <c r="F30" s="77" t="s">
        <v>284</v>
      </c>
      <c r="G30" s="289"/>
      <c r="H30" s="299"/>
      <c r="I30" s="272"/>
    </row>
    <row r="31" spans="1:17" ht="15.6" x14ac:dyDescent="0.3">
      <c r="A31" s="315"/>
      <c r="B31" s="320"/>
      <c r="C31" s="321"/>
      <c r="D31" s="322"/>
      <c r="E31" s="16"/>
      <c r="F31" s="77" t="s">
        <v>160</v>
      </c>
      <c r="G31" s="289"/>
      <c r="H31" s="298">
        <f>P31*Q31</f>
        <v>0</v>
      </c>
      <c r="I31" s="271"/>
      <c r="P31">
        <f>IF(E31=FALSE,0,VLOOKUP(E31,Table1[],2,FALSE))</f>
        <v>0</v>
      </c>
      <c r="Q31">
        <f>IF(E32=FALSE,0,VLOOKUP(E32,Table13[],2,FALSE))</f>
        <v>0</v>
      </c>
    </row>
    <row r="32" spans="1:17" ht="15.6" x14ac:dyDescent="0.3">
      <c r="A32" s="316"/>
      <c r="B32" s="87"/>
      <c r="C32" s="88"/>
      <c r="D32" s="89"/>
      <c r="E32" s="16"/>
      <c r="F32" s="77" t="s">
        <v>284</v>
      </c>
      <c r="G32" s="290"/>
      <c r="H32" s="299"/>
      <c r="I32" s="272"/>
    </row>
    <row r="33" spans="1:9" ht="15.6" x14ac:dyDescent="0.3">
      <c r="A33" s="79"/>
      <c r="B33" s="274" t="s">
        <v>157</v>
      </c>
      <c r="C33" s="275"/>
      <c r="D33" s="275"/>
      <c r="E33" s="275"/>
      <c r="F33" s="275"/>
      <c r="G33" s="276"/>
      <c r="H33" s="80">
        <f>H18+MIN(SUM(H19:H32),0.5)</f>
        <v>0</v>
      </c>
      <c r="I33" s="81"/>
    </row>
    <row r="34" spans="1:9" ht="15.75" customHeight="1" x14ac:dyDescent="0.3">
      <c r="A34" s="63" t="s">
        <v>66</v>
      </c>
      <c r="B34" s="285" t="s">
        <v>171</v>
      </c>
      <c r="C34" s="285"/>
      <c r="D34" s="286"/>
      <c r="E34" s="64"/>
      <c r="F34" s="63"/>
      <c r="G34" s="63"/>
      <c r="H34" s="65"/>
      <c r="I34" s="63"/>
    </row>
    <row r="35" spans="1:9" ht="111" customHeight="1" x14ac:dyDescent="0.3">
      <c r="A35" s="310"/>
      <c r="B35" s="269" t="s">
        <v>173</v>
      </c>
      <c r="C35" s="269"/>
      <c r="D35" s="269"/>
      <c r="E35" s="270"/>
      <c r="F35" s="326" t="s">
        <v>40</v>
      </c>
      <c r="G35" s="327">
        <v>3</v>
      </c>
      <c r="H35" s="293">
        <f>IF(E35=FALSE,0,VLOOKUP(E35,B37:D40,2,FALSE))</f>
        <v>0</v>
      </c>
      <c r="I35" s="265"/>
    </row>
    <row r="36" spans="1:9" ht="33.6" customHeight="1" x14ac:dyDescent="0.3">
      <c r="A36" s="311"/>
      <c r="B36" s="324" t="s">
        <v>174</v>
      </c>
      <c r="C36" s="324"/>
      <c r="D36" s="325"/>
      <c r="E36" s="270"/>
      <c r="F36" s="326"/>
      <c r="G36" s="327"/>
      <c r="H36" s="295"/>
      <c r="I36" s="266"/>
    </row>
    <row r="37" spans="1:9" ht="15.6" x14ac:dyDescent="0.3">
      <c r="A37" s="312"/>
      <c r="B37" s="90" t="s">
        <v>289</v>
      </c>
      <c r="C37" s="72">
        <v>0</v>
      </c>
      <c r="D37" s="99" t="s">
        <v>178</v>
      </c>
      <c r="E37" s="270"/>
      <c r="F37" s="326"/>
      <c r="G37" s="327"/>
      <c r="H37" s="295"/>
      <c r="I37" s="266"/>
    </row>
    <row r="38" spans="1:9" ht="15.6" customHeight="1" x14ac:dyDescent="0.3">
      <c r="A38" s="312"/>
      <c r="B38" s="91" t="s">
        <v>175</v>
      </c>
      <c r="C38" s="72">
        <v>1</v>
      </c>
      <c r="D38" s="99" t="s">
        <v>178</v>
      </c>
      <c r="E38" s="270"/>
      <c r="F38" s="326"/>
      <c r="G38" s="327"/>
      <c r="H38" s="295"/>
      <c r="I38" s="266"/>
    </row>
    <row r="39" spans="1:9" ht="15.6" customHeight="1" x14ac:dyDescent="0.3">
      <c r="A39" s="312"/>
      <c r="B39" s="91" t="s">
        <v>176</v>
      </c>
      <c r="C39" s="72">
        <v>2</v>
      </c>
      <c r="D39" s="99" t="s">
        <v>179</v>
      </c>
      <c r="E39" s="270"/>
      <c r="F39" s="326"/>
      <c r="G39" s="327"/>
      <c r="H39" s="295"/>
      <c r="I39" s="266"/>
    </row>
    <row r="40" spans="1:9" ht="15.6" customHeight="1" x14ac:dyDescent="0.3">
      <c r="A40" s="313"/>
      <c r="B40" s="91" t="s">
        <v>177</v>
      </c>
      <c r="C40" s="72">
        <v>3</v>
      </c>
      <c r="D40" s="99" t="s">
        <v>179</v>
      </c>
      <c r="E40" s="270"/>
      <c r="F40" s="326"/>
      <c r="G40" s="327"/>
      <c r="H40" s="295"/>
      <c r="I40" s="266"/>
    </row>
    <row r="41" spans="1:9" ht="50.4" customHeight="1" x14ac:dyDescent="0.3">
      <c r="A41" s="92"/>
      <c r="B41" s="268" t="s">
        <v>291</v>
      </c>
      <c r="C41" s="269"/>
      <c r="D41" s="269"/>
      <c r="E41" s="270"/>
      <c r="F41" s="326"/>
      <c r="G41" s="327"/>
      <c r="H41" s="294"/>
      <c r="I41" s="267"/>
    </row>
    <row r="42" spans="1:9" ht="15.6" x14ac:dyDescent="0.3">
      <c r="A42" s="79"/>
      <c r="B42" s="280" t="s">
        <v>172</v>
      </c>
      <c r="C42" s="281"/>
      <c r="D42" s="281"/>
      <c r="E42" s="275"/>
      <c r="F42" s="275"/>
      <c r="G42" s="276"/>
      <c r="H42" s="80">
        <f>H35</f>
        <v>0</v>
      </c>
      <c r="I42" s="81"/>
    </row>
    <row r="43" spans="1:9" ht="15.6" x14ac:dyDescent="0.3">
      <c r="A43" s="63" t="s">
        <v>180</v>
      </c>
      <c r="B43" s="285" t="s">
        <v>181</v>
      </c>
      <c r="C43" s="285"/>
      <c r="D43" s="286"/>
      <c r="E43" s="64"/>
      <c r="F43" s="63"/>
      <c r="G43" s="63"/>
      <c r="H43" s="65"/>
      <c r="I43" s="63"/>
    </row>
    <row r="44" spans="1:9" ht="47.25" customHeight="1" x14ac:dyDescent="0.3">
      <c r="A44" s="58"/>
      <c r="B44" s="291" t="s">
        <v>183</v>
      </c>
      <c r="C44" s="291"/>
      <c r="D44" s="291"/>
      <c r="E44" s="16"/>
      <c r="F44" s="67" t="s">
        <v>36</v>
      </c>
      <c r="G44" s="74">
        <v>2</v>
      </c>
      <c r="H44" s="73">
        <f>IF(E44="Y",2,0)</f>
        <v>0</v>
      </c>
      <c r="I44" s="96"/>
    </row>
    <row r="45" spans="1:9" ht="15.6" x14ac:dyDescent="0.3">
      <c r="A45" s="79"/>
      <c r="B45" s="274" t="s">
        <v>182</v>
      </c>
      <c r="C45" s="275"/>
      <c r="D45" s="275"/>
      <c r="E45" s="275"/>
      <c r="F45" s="275"/>
      <c r="G45" s="276"/>
      <c r="H45" s="80">
        <f>H44</f>
        <v>0</v>
      </c>
      <c r="I45" s="81"/>
    </row>
    <row r="46" spans="1:9" ht="15.6" x14ac:dyDescent="0.3">
      <c r="A46" s="63" t="s">
        <v>184</v>
      </c>
      <c r="B46" s="292" t="s">
        <v>185</v>
      </c>
      <c r="C46" s="285"/>
      <c r="D46" s="286"/>
      <c r="E46" s="300" t="s">
        <v>48</v>
      </c>
      <c r="F46" s="301"/>
      <c r="G46" s="301"/>
      <c r="H46" s="301"/>
      <c r="I46" s="302"/>
    </row>
    <row r="47" spans="1:9" ht="34.200000000000003" hidden="1" customHeight="1" x14ac:dyDescent="0.3">
      <c r="A47" s="58" t="s">
        <v>117</v>
      </c>
      <c r="B47" s="291" t="s">
        <v>186</v>
      </c>
      <c r="C47" s="291"/>
      <c r="D47" s="291"/>
      <c r="E47" s="93"/>
      <c r="F47" s="71"/>
      <c r="G47" s="70"/>
      <c r="H47" s="94"/>
      <c r="I47" s="95"/>
    </row>
    <row r="48" spans="1:9" ht="29.4" hidden="1" customHeight="1" x14ac:dyDescent="0.3">
      <c r="A48" s="58" t="s">
        <v>118</v>
      </c>
      <c r="B48" s="269" t="s">
        <v>187</v>
      </c>
      <c r="C48" s="269"/>
      <c r="D48" s="269"/>
      <c r="E48" s="93"/>
      <c r="F48" s="71"/>
      <c r="G48" s="93"/>
      <c r="H48" s="94"/>
      <c r="I48" s="95"/>
    </row>
    <row r="49" spans="1:9" ht="15.6" x14ac:dyDescent="0.3">
      <c r="A49" s="79"/>
      <c r="B49" s="274" t="s">
        <v>182</v>
      </c>
      <c r="C49" s="275"/>
      <c r="D49" s="275"/>
      <c r="E49" s="275"/>
      <c r="F49" s="275"/>
      <c r="G49" s="276"/>
      <c r="H49" s="80">
        <f>H47</f>
        <v>0</v>
      </c>
      <c r="I49" s="81"/>
    </row>
  </sheetData>
  <sheetProtection algorithmName="SHA-512" hashValue="okoIvlBq9vfiJCxEy0KpuqcNQrmaI/OpotQWzdEn7C2vkbjEIIYT0CjcXxNkF2LYGFTGDi48OBE/9mRCIcJ/Zw==" saltValue="ZvNOpcr5GqNty6n9bA5FAw==" spinCount="100000" sheet="1" selectLockedCells="1"/>
  <mergeCells count="65">
    <mergeCell ref="A35:A40"/>
    <mergeCell ref="H21:H22"/>
    <mergeCell ref="H23:H24"/>
    <mergeCell ref="H25:H26"/>
    <mergeCell ref="H27:H28"/>
    <mergeCell ref="A19:A32"/>
    <mergeCell ref="B19:D21"/>
    <mergeCell ref="B25:C26"/>
    <mergeCell ref="B30:D31"/>
    <mergeCell ref="H29:H30"/>
    <mergeCell ref="H31:H32"/>
    <mergeCell ref="B36:D36"/>
    <mergeCell ref="F35:F41"/>
    <mergeCell ref="G35:G41"/>
    <mergeCell ref="H35:H41"/>
    <mergeCell ref="B5:D5"/>
    <mergeCell ref="B6:D6"/>
    <mergeCell ref="A5:A6"/>
    <mergeCell ref="A7:A14"/>
    <mergeCell ref="B7:D7"/>
    <mergeCell ref="B8:D8"/>
    <mergeCell ref="B9:D9"/>
    <mergeCell ref="B48:D48"/>
    <mergeCell ref="G9:G10"/>
    <mergeCell ref="H9:H10"/>
    <mergeCell ref="B10:D10"/>
    <mergeCell ref="B11:D11"/>
    <mergeCell ref="G11:G14"/>
    <mergeCell ref="H11:H14"/>
    <mergeCell ref="B12:D12"/>
    <mergeCell ref="B13:D13"/>
    <mergeCell ref="B14:D14"/>
    <mergeCell ref="B15:D15"/>
    <mergeCell ref="B16:G16"/>
    <mergeCell ref="B18:D18"/>
    <mergeCell ref="H19:H20"/>
    <mergeCell ref="E46:I46"/>
    <mergeCell ref="I9:I10"/>
    <mergeCell ref="B49:G49"/>
    <mergeCell ref="B1:D1"/>
    <mergeCell ref="B33:G33"/>
    <mergeCell ref="B42:G42"/>
    <mergeCell ref="B45:G45"/>
    <mergeCell ref="A2:F2"/>
    <mergeCell ref="B35:D35"/>
    <mergeCell ref="B3:D3"/>
    <mergeCell ref="B4:D4"/>
    <mergeCell ref="B17:D17"/>
    <mergeCell ref="B34:D34"/>
    <mergeCell ref="G19:G32"/>
    <mergeCell ref="B43:D43"/>
    <mergeCell ref="B44:D44"/>
    <mergeCell ref="B46:D46"/>
    <mergeCell ref="B47:D47"/>
    <mergeCell ref="I11:I14"/>
    <mergeCell ref="I19:I20"/>
    <mergeCell ref="I21:I22"/>
    <mergeCell ref="I23:I24"/>
    <mergeCell ref="I25:I26"/>
    <mergeCell ref="I35:I41"/>
    <mergeCell ref="B41:D41"/>
    <mergeCell ref="E35:E41"/>
    <mergeCell ref="I27:I28"/>
    <mergeCell ref="I29:I30"/>
    <mergeCell ref="I31:I32"/>
  </mergeCells>
  <phoneticPr fontId="34" type="noConversion"/>
  <dataValidations count="6">
    <dataValidation type="list" allowBlank="1" showInputMessage="1" showErrorMessage="1" sqref="E44 E4 E10 E14 E12" xr:uid="{00000000-0002-0000-0400-000003000000}">
      <formula1>"Y,N"</formula1>
    </dataValidation>
    <dataValidation type="decimal" allowBlank="1" showInputMessage="1" showErrorMessage="1" sqref="E18 E13 E9 E11 E15" xr:uid="{00000000-0002-0000-0400-000004000000}">
      <formula1>0</formula1>
      <formula2>100</formula2>
    </dataValidation>
    <dataValidation type="list" allowBlank="1" showInputMessage="1" showErrorMessage="1" sqref="E6" xr:uid="{47A946B5-A937-4DB1-8990-FD0D35061349}">
      <formula1>"2 ticks, 3 ticks, 4 ticks"</formula1>
    </dataValidation>
    <dataValidation type="list" allowBlank="1" showInputMessage="1" showErrorMessage="1" sqref="E19 E21 E23 E25 E27 E29 E31" xr:uid="{B94A24AC-B9C4-4945-9EDB-BBF0A495EBB3}">
      <formula1>$K$20:$K$22</formula1>
    </dataValidation>
    <dataValidation type="list" allowBlank="1" showInputMessage="1" showErrorMessage="1" sqref="E20 E22 E24 E26 E28 E30 E32" xr:uid="{2F63A597-1188-4080-A2FD-951ABEE2C9A6}">
      <formula1>"High Impact, Low Impact"</formula1>
    </dataValidation>
    <dataValidation type="list" allowBlank="1" showInputMessage="1" showErrorMessage="1" sqref="E35" xr:uid="{F0868F26-E7E6-49F7-88BC-2F0CBC8C8842}">
      <formula1>$B$37:$B$40</formula1>
    </dataValidation>
  </dataValidations>
  <pageMargins left="0.7" right="0.7" top="0.75" bottom="0.75" header="0.3" footer="0.3"/>
  <pageSetup paperSize="9" scale="50" orientation="portrait" r:id="rId1"/>
  <colBreaks count="1" manualBreakCount="1">
    <brk id="9" max="102" man="1"/>
  </colBreaks>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26"/>
  <sheetViews>
    <sheetView zoomScaleNormal="100" workbookViewId="0">
      <selection activeCell="C5" sqref="C5"/>
    </sheetView>
  </sheetViews>
  <sheetFormatPr defaultColWidth="9.109375" defaultRowHeight="15.6" x14ac:dyDescent="0.3"/>
  <cols>
    <col min="1" max="1" width="8.33203125" style="147" customWidth="1"/>
    <col min="2" max="2" width="65.6640625" customWidth="1"/>
    <col min="3" max="4" width="10.6640625" customWidth="1"/>
    <col min="5" max="5" width="19.33203125" customWidth="1"/>
    <col min="6" max="6" width="10.6640625" customWidth="1"/>
    <col min="7" max="7" width="30.6640625" customWidth="1"/>
    <col min="8" max="8" width="8.6640625" customWidth="1"/>
    <col min="9" max="9" width="10.6640625" hidden="1" customWidth="1"/>
    <col min="10" max="11" width="15.6640625" hidden="1" customWidth="1"/>
    <col min="12" max="12" width="14.88671875" hidden="1" customWidth="1"/>
    <col min="13" max="15" width="0" hidden="1" customWidth="1"/>
  </cols>
  <sheetData>
    <row r="1" spans="1:11" ht="31.2" x14ac:dyDescent="0.3">
      <c r="A1" s="59"/>
      <c r="B1" s="17" t="s">
        <v>43</v>
      </c>
      <c r="C1" s="6" t="s">
        <v>32</v>
      </c>
      <c r="D1" s="6" t="s">
        <v>33</v>
      </c>
      <c r="E1" s="13" t="s">
        <v>44</v>
      </c>
      <c r="F1" s="6" t="s">
        <v>45</v>
      </c>
      <c r="G1" s="17" t="s">
        <v>46</v>
      </c>
    </row>
    <row r="2" spans="1:11" ht="21" x14ac:dyDescent="0.3">
      <c r="A2" s="332" t="s">
        <v>25</v>
      </c>
      <c r="B2" s="333"/>
      <c r="C2" s="333"/>
      <c r="D2" s="334"/>
      <c r="E2" s="103">
        <v>6</v>
      </c>
      <c r="F2" s="104">
        <f>MIN(SUM(F9,F15,F20,F23,F26), 6)</f>
        <v>0</v>
      </c>
      <c r="G2" s="105" t="s">
        <v>47</v>
      </c>
      <c r="H2" s="330"/>
      <c r="I2" s="331"/>
      <c r="J2" s="331"/>
      <c r="K2" s="331"/>
    </row>
    <row r="3" spans="1:11" x14ac:dyDescent="0.3">
      <c r="A3" s="106" t="s">
        <v>110</v>
      </c>
      <c r="B3" s="107" t="s">
        <v>50</v>
      </c>
      <c r="C3" s="108"/>
      <c r="D3" s="109"/>
      <c r="E3" s="110"/>
      <c r="F3" s="111"/>
      <c r="G3" s="112"/>
      <c r="H3" s="330"/>
      <c r="I3" s="331"/>
      <c r="J3" s="331"/>
      <c r="K3" s="331"/>
    </row>
    <row r="4" spans="1:11" ht="31.2" x14ac:dyDescent="0.3">
      <c r="A4" s="338" t="s">
        <v>38</v>
      </c>
      <c r="B4" s="113" t="s">
        <v>51</v>
      </c>
      <c r="C4" s="200"/>
      <c r="D4" s="200"/>
      <c r="E4" s="200"/>
      <c r="F4" s="206"/>
      <c r="G4" s="199"/>
      <c r="I4" s="114"/>
      <c r="J4" s="115" t="s">
        <v>52</v>
      </c>
      <c r="K4" s="14"/>
    </row>
    <row r="5" spans="1:11" x14ac:dyDescent="0.3">
      <c r="A5" s="339"/>
      <c r="B5" s="116" t="s">
        <v>285</v>
      </c>
      <c r="C5" s="1"/>
      <c r="D5" s="8" t="s">
        <v>36</v>
      </c>
      <c r="E5" s="341" t="s">
        <v>189</v>
      </c>
      <c r="F5" s="344">
        <f>J5</f>
        <v>0</v>
      </c>
      <c r="G5" s="271"/>
      <c r="I5" s="78">
        <f>IF(C5="Y",0.25,0)</f>
        <v>0</v>
      </c>
      <c r="J5" s="346">
        <f>MIN(SUM(I5:I7),0.5)</f>
        <v>0</v>
      </c>
      <c r="K5" s="335" t="s">
        <v>53</v>
      </c>
    </row>
    <row r="6" spans="1:11" x14ac:dyDescent="0.3">
      <c r="A6" s="339"/>
      <c r="B6" s="116" t="s">
        <v>286</v>
      </c>
      <c r="C6" s="1"/>
      <c r="D6" s="8" t="s">
        <v>36</v>
      </c>
      <c r="E6" s="342"/>
      <c r="F6" s="345"/>
      <c r="G6" s="273"/>
      <c r="I6" s="78">
        <f>IF(C6="Y",0.5,0)</f>
        <v>0</v>
      </c>
      <c r="J6" s="347"/>
      <c r="K6" s="336"/>
    </row>
    <row r="7" spans="1:11" x14ac:dyDescent="0.3">
      <c r="A7" s="340"/>
      <c r="B7" s="116" t="s">
        <v>287</v>
      </c>
      <c r="C7" s="1"/>
      <c r="D7" s="8" t="s">
        <v>36</v>
      </c>
      <c r="E7" s="343"/>
      <c r="F7" s="345"/>
      <c r="G7" s="272"/>
      <c r="I7" s="78">
        <f>IF(C7="Y",0.5,0)</f>
        <v>0</v>
      </c>
      <c r="J7" s="347"/>
      <c r="K7" s="337"/>
    </row>
    <row r="8" spans="1:11" ht="31.2" x14ac:dyDescent="0.3">
      <c r="A8" s="117" t="s">
        <v>39</v>
      </c>
      <c r="B8" s="116" t="s">
        <v>54</v>
      </c>
      <c r="C8" s="15"/>
      <c r="D8" s="118" t="s">
        <v>37</v>
      </c>
      <c r="E8" s="119" t="s">
        <v>55</v>
      </c>
      <c r="F8" s="78">
        <f>IF(I8&gt;=0.5,0.5,I8)</f>
        <v>0</v>
      </c>
      <c r="G8" s="100" t="s">
        <v>290</v>
      </c>
      <c r="I8" s="120">
        <f>IF(C8&gt;0,C8*0.25,0)</f>
        <v>0</v>
      </c>
      <c r="J8" s="121">
        <f>IF(I8&gt;=0.5,"0.5",I8)</f>
        <v>0</v>
      </c>
      <c r="K8" s="9" t="s">
        <v>53</v>
      </c>
    </row>
    <row r="9" spans="1:11" x14ac:dyDescent="0.3">
      <c r="A9" s="122"/>
      <c r="B9" s="328" t="s">
        <v>188</v>
      </c>
      <c r="C9" s="329"/>
      <c r="D9" s="329"/>
      <c r="E9" s="329"/>
      <c r="F9" s="123">
        <f>MIN((F5+F8),1)</f>
        <v>0</v>
      </c>
      <c r="G9" s="124"/>
    </row>
    <row r="10" spans="1:11" x14ac:dyDescent="0.3">
      <c r="A10" s="106" t="s">
        <v>49</v>
      </c>
      <c r="B10" s="107" t="s">
        <v>190</v>
      </c>
      <c r="C10" s="108"/>
      <c r="D10" s="109"/>
      <c r="E10" s="110"/>
      <c r="F10" s="111"/>
      <c r="G10" s="112"/>
    </row>
    <row r="11" spans="1:11" ht="46.8" x14ac:dyDescent="0.3">
      <c r="A11" s="67"/>
      <c r="B11" s="116" t="s">
        <v>191</v>
      </c>
      <c r="C11" s="200"/>
      <c r="D11" s="203"/>
      <c r="E11" s="204"/>
      <c r="F11" s="205"/>
      <c r="G11" s="199"/>
    </row>
    <row r="12" spans="1:11" x14ac:dyDescent="0.3">
      <c r="A12" s="117" t="s">
        <v>117</v>
      </c>
      <c r="B12" s="116" t="s">
        <v>192</v>
      </c>
      <c r="C12" s="1"/>
      <c r="D12" s="8" t="s">
        <v>36</v>
      </c>
      <c r="E12" s="72">
        <v>1</v>
      </c>
      <c r="F12" s="78">
        <f>IF(C12="Y",1,0)</f>
        <v>0</v>
      </c>
      <c r="G12" s="97"/>
    </row>
    <row r="13" spans="1:11" x14ac:dyDescent="0.3">
      <c r="A13" s="74" t="s">
        <v>118</v>
      </c>
      <c r="B13" s="7" t="s">
        <v>193</v>
      </c>
      <c r="C13" s="1"/>
      <c r="D13" s="8" t="s">
        <v>36</v>
      </c>
      <c r="E13" s="72">
        <v>1</v>
      </c>
      <c r="F13" s="78">
        <f>IF(C13="Y",1,0)</f>
        <v>0</v>
      </c>
      <c r="G13" s="97"/>
    </row>
    <row r="14" spans="1:11" ht="39.6" customHeight="1" x14ac:dyDescent="0.3">
      <c r="A14" s="74"/>
      <c r="B14" s="125" t="s">
        <v>194</v>
      </c>
      <c r="C14" s="200"/>
      <c r="D14" s="199"/>
      <c r="E14" s="201"/>
      <c r="F14" s="202"/>
      <c r="G14" s="199"/>
    </row>
    <row r="15" spans="1:11" x14ac:dyDescent="0.3">
      <c r="A15" s="122"/>
      <c r="B15" s="328" t="s">
        <v>195</v>
      </c>
      <c r="C15" s="329"/>
      <c r="D15" s="329"/>
      <c r="E15" s="329"/>
      <c r="F15" s="123">
        <f>MIN((F13+F12),2)</f>
        <v>0</v>
      </c>
      <c r="G15" s="124"/>
    </row>
    <row r="16" spans="1:11" x14ac:dyDescent="0.3">
      <c r="A16" s="126" t="s">
        <v>56</v>
      </c>
      <c r="B16" s="127" t="s">
        <v>196</v>
      </c>
      <c r="C16" s="128"/>
      <c r="D16" s="129"/>
      <c r="E16" s="110"/>
      <c r="F16" s="130"/>
      <c r="G16" s="112"/>
      <c r="J16" s="131" t="s">
        <v>164</v>
      </c>
      <c r="K16" s="132" t="s">
        <v>165</v>
      </c>
    </row>
    <row r="17" spans="1:11" ht="78" x14ac:dyDescent="0.3">
      <c r="A17" s="117" t="s">
        <v>117</v>
      </c>
      <c r="B17" s="133" t="s">
        <v>201</v>
      </c>
      <c r="C17" s="28"/>
      <c r="D17" s="8" t="s">
        <v>36</v>
      </c>
      <c r="E17" s="72">
        <v>0.5</v>
      </c>
      <c r="F17" s="78">
        <f>IF(C17=FALSE,0,VLOOKUP(C17,J16:K19,2,FALSE))</f>
        <v>0</v>
      </c>
      <c r="G17" s="97"/>
      <c r="J17" t="s">
        <v>48</v>
      </c>
      <c r="K17">
        <v>0</v>
      </c>
    </row>
    <row r="18" spans="1:11" ht="31.2" x14ac:dyDescent="0.3">
      <c r="A18" s="74" t="s">
        <v>118</v>
      </c>
      <c r="B18" s="133" t="s">
        <v>197</v>
      </c>
      <c r="C18" s="1"/>
      <c r="D18" s="8" t="s">
        <v>36</v>
      </c>
      <c r="E18" s="72">
        <v>0.5</v>
      </c>
      <c r="F18" s="78">
        <f>IF(C18="Y",0.5,0)</f>
        <v>0</v>
      </c>
      <c r="G18" s="101" t="s">
        <v>199</v>
      </c>
      <c r="J18" t="s">
        <v>202</v>
      </c>
      <c r="K18">
        <v>0.5</v>
      </c>
    </row>
    <row r="19" spans="1:11" ht="31.2" x14ac:dyDescent="0.3">
      <c r="A19" s="11"/>
      <c r="B19" s="134" t="s">
        <v>198</v>
      </c>
      <c r="C19" s="199"/>
      <c r="D19" s="199"/>
      <c r="E19" s="199"/>
      <c r="F19" s="199"/>
      <c r="G19" s="199"/>
      <c r="J19" t="s">
        <v>203</v>
      </c>
      <c r="K19">
        <v>0.5</v>
      </c>
    </row>
    <row r="20" spans="1:11" x14ac:dyDescent="0.3">
      <c r="A20" s="135"/>
      <c r="B20" s="328" t="s">
        <v>200</v>
      </c>
      <c r="C20" s="329"/>
      <c r="D20" s="329"/>
      <c r="E20" s="329"/>
      <c r="F20" s="123">
        <f>MIN((F18+F17),1)</f>
        <v>0</v>
      </c>
      <c r="G20" s="136"/>
    </row>
    <row r="21" spans="1:11" x14ac:dyDescent="0.3">
      <c r="A21" s="106" t="s">
        <v>204</v>
      </c>
      <c r="B21" s="137" t="s">
        <v>205</v>
      </c>
      <c r="C21" s="138"/>
      <c r="D21" s="139"/>
      <c r="E21" s="110"/>
      <c r="F21" s="140"/>
      <c r="G21" s="112"/>
    </row>
    <row r="22" spans="1:11" x14ac:dyDescent="0.3">
      <c r="A22" s="74"/>
      <c r="B22" s="141" t="s">
        <v>206</v>
      </c>
      <c r="C22" s="1"/>
      <c r="D22" s="8" t="s">
        <v>36</v>
      </c>
      <c r="E22" s="72">
        <v>1</v>
      </c>
      <c r="F22" s="78">
        <f>IF(C22="Y",1,0)</f>
        <v>0</v>
      </c>
      <c r="G22" s="102"/>
    </row>
    <row r="23" spans="1:11" x14ac:dyDescent="0.3">
      <c r="A23" s="122"/>
      <c r="B23" s="328" t="s">
        <v>207</v>
      </c>
      <c r="C23" s="329"/>
      <c r="D23" s="329"/>
      <c r="E23" s="329"/>
      <c r="F23" s="142">
        <f>MIN(F22, 1)</f>
        <v>0</v>
      </c>
      <c r="G23" s="122"/>
    </row>
    <row r="24" spans="1:11" x14ac:dyDescent="0.3">
      <c r="A24" s="106" t="s">
        <v>208</v>
      </c>
      <c r="B24" s="137" t="s">
        <v>209</v>
      </c>
      <c r="C24" s="143"/>
      <c r="D24" s="144"/>
      <c r="E24" s="110"/>
      <c r="F24" s="145"/>
      <c r="G24" s="146"/>
    </row>
    <row r="25" spans="1:11" ht="46.8" x14ac:dyDescent="0.3">
      <c r="A25" s="11"/>
      <c r="B25" s="133" t="s">
        <v>210</v>
      </c>
      <c r="C25" s="29"/>
      <c r="D25" s="118" t="s">
        <v>37</v>
      </c>
      <c r="E25" s="72">
        <v>1</v>
      </c>
      <c r="F25" s="78" cm="1">
        <f t="array" ref="F25">_xlfn.IFS(C25=0,0,C25&lt;=2,1,C25&lt;=2.2,0.5,C25&gt;2.2,0)</f>
        <v>0</v>
      </c>
      <c r="G25" s="97"/>
    </row>
    <row r="26" spans="1:11" x14ac:dyDescent="0.3">
      <c r="A26" s="124"/>
      <c r="B26" s="328" t="s">
        <v>211</v>
      </c>
      <c r="C26" s="329"/>
      <c r="D26" s="329"/>
      <c r="E26" s="329"/>
      <c r="F26" s="142">
        <f>F25</f>
        <v>0</v>
      </c>
      <c r="G26" s="136"/>
    </row>
  </sheetData>
  <sheetProtection algorithmName="SHA-512" hashValue="ux89Fd1p1BGzlRnIzW8wuiriGNx8eR/UKfAOjQD6XuZHoFs+9O+c4SJUPjznyoVaIsUUZSFsTL8tPRHIhevgWw==" saltValue="JMfHwlz7ctT6EUuVUs0XSg==" spinCount="100000" sheet="1" objects="1" scenarios="1" selectLockedCells="1"/>
  <mergeCells count="14">
    <mergeCell ref="B15:E15"/>
    <mergeCell ref="B26:E26"/>
    <mergeCell ref="B20:E20"/>
    <mergeCell ref="B23:E23"/>
    <mergeCell ref="H2:K2"/>
    <mergeCell ref="H3:K3"/>
    <mergeCell ref="A2:D2"/>
    <mergeCell ref="K5:K7"/>
    <mergeCell ref="B9:E9"/>
    <mergeCell ref="A4:A7"/>
    <mergeCell ref="E5:E7"/>
    <mergeCell ref="F5:F7"/>
    <mergeCell ref="J5:J7"/>
    <mergeCell ref="G5:G7"/>
  </mergeCells>
  <dataValidations count="4">
    <dataValidation type="list" allowBlank="1" showInputMessage="1" showErrorMessage="1" sqref="C22 C12:C13 C18 C5:C7" xr:uid="{00000000-0002-0000-0300-000005000000}">
      <formula1>"Y,N"</formula1>
    </dataValidation>
    <dataValidation type="whole" allowBlank="1" showInputMessage="1" showErrorMessage="1" sqref="C8" xr:uid="{00000000-0002-0000-0300-000007000000}">
      <formula1>0</formula1>
      <formula2>1000</formula2>
    </dataValidation>
    <dataValidation type="decimal" allowBlank="1" showInputMessage="1" showErrorMessage="1" sqref="C25" xr:uid="{F010DC29-EF56-479C-B4FC-5638CC3B00C5}">
      <formula1>0</formula1>
      <formula2>100</formula2>
    </dataValidation>
    <dataValidation type="list" allowBlank="1" showInputMessage="1" showErrorMessage="1" sqref="C17" xr:uid="{E2D178AC-706C-49E5-AD57-76518D7F7F88}">
      <formula1>$J$17:$J$19</formula1>
    </dataValidation>
  </dataValidations>
  <pageMargins left="0.7" right="0.7" top="0.75" bottom="0.75" header="0.3" footer="0.3"/>
  <pageSetup paperSize="9" scale="3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7F86C-39C3-4E78-B07A-8BEA1924B927}">
  <dimension ref="A1:I31"/>
  <sheetViews>
    <sheetView zoomScaleNormal="100" workbookViewId="0">
      <selection activeCell="E4" sqref="E4"/>
    </sheetView>
  </sheetViews>
  <sheetFormatPr defaultColWidth="9.109375" defaultRowHeight="14.4" x14ac:dyDescent="0.3"/>
  <cols>
    <col min="1" max="1" width="8.33203125" customWidth="1"/>
    <col min="2" max="2" width="22.33203125" customWidth="1"/>
    <col min="3" max="3" width="46.44140625" customWidth="1"/>
    <col min="4" max="4" width="10.5546875" customWidth="1"/>
    <col min="5" max="5" width="10.6640625" style="14" customWidth="1"/>
    <col min="6" max="6" width="16.109375" style="35" customWidth="1"/>
    <col min="7" max="7" width="18.109375" customWidth="1"/>
    <col min="8" max="8" width="10.6640625" style="166" customWidth="1"/>
    <col min="9" max="9" width="30.6640625" customWidth="1"/>
    <col min="10" max="11" width="50.6640625" customWidth="1"/>
    <col min="12" max="12" width="15.5546875" customWidth="1"/>
    <col min="13" max="13" width="17.33203125" customWidth="1"/>
  </cols>
  <sheetData>
    <row r="1" spans="1:9" ht="31.2" x14ac:dyDescent="0.3">
      <c r="A1" s="59"/>
      <c r="B1" s="277" t="s">
        <v>67</v>
      </c>
      <c r="C1" s="278"/>
      <c r="D1" s="279"/>
      <c r="E1" s="6" t="s">
        <v>32</v>
      </c>
      <c r="F1" s="6" t="s">
        <v>33</v>
      </c>
      <c r="G1" s="13" t="s">
        <v>44</v>
      </c>
      <c r="H1" s="6" t="s">
        <v>45</v>
      </c>
      <c r="I1" s="17" t="s">
        <v>46</v>
      </c>
    </row>
    <row r="2" spans="1:9" ht="21" x14ac:dyDescent="0.3">
      <c r="A2" s="349" t="s">
        <v>68</v>
      </c>
      <c r="B2" s="350"/>
      <c r="C2" s="350"/>
      <c r="D2" s="350"/>
      <c r="E2" s="350"/>
      <c r="F2" s="351"/>
      <c r="G2" s="150">
        <v>3</v>
      </c>
      <c r="H2" s="151">
        <f>MIN(SUM(H5,H14,H19,H22),3)</f>
        <v>0</v>
      </c>
      <c r="I2" s="152" t="s">
        <v>47</v>
      </c>
    </row>
    <row r="3" spans="1:9" ht="15.6" x14ac:dyDescent="0.3">
      <c r="A3" s="153" t="s">
        <v>69</v>
      </c>
      <c r="B3" s="352" t="s">
        <v>212</v>
      </c>
      <c r="C3" s="352"/>
      <c r="D3" s="353"/>
      <c r="E3" s="154"/>
      <c r="F3" s="153"/>
      <c r="G3" s="153">
        <v>0.5</v>
      </c>
      <c r="H3" s="155"/>
      <c r="I3" s="153"/>
    </row>
    <row r="4" spans="1:9" ht="67.8" customHeight="1" x14ac:dyDescent="0.3">
      <c r="A4" s="74"/>
      <c r="B4" s="291" t="s">
        <v>288</v>
      </c>
      <c r="C4" s="291"/>
      <c r="D4" s="291"/>
      <c r="E4" s="16"/>
      <c r="F4" s="156" t="s">
        <v>36</v>
      </c>
      <c r="G4" s="72">
        <v>0.5</v>
      </c>
      <c r="H4" s="76">
        <f>IF(E4="Y",0.5,0)</f>
        <v>0</v>
      </c>
      <c r="I4" s="148"/>
    </row>
    <row r="5" spans="1:9" ht="15.6" x14ac:dyDescent="0.3">
      <c r="A5" s="348" t="s">
        <v>213</v>
      </c>
      <c r="B5" s="348"/>
      <c r="C5" s="348"/>
      <c r="D5" s="348"/>
      <c r="E5" s="348"/>
      <c r="F5" s="348"/>
      <c r="G5" s="348"/>
      <c r="H5" s="157">
        <f>H4</f>
        <v>0</v>
      </c>
      <c r="I5" s="158"/>
    </row>
    <row r="6" spans="1:9" ht="15.75" customHeight="1" x14ac:dyDescent="0.3">
      <c r="A6" s="153" t="s">
        <v>74</v>
      </c>
      <c r="B6" s="354" t="s">
        <v>70</v>
      </c>
      <c r="C6" s="354"/>
      <c r="D6" s="355"/>
      <c r="E6" s="154"/>
      <c r="F6" s="153"/>
      <c r="G6" s="153"/>
      <c r="H6" s="155"/>
      <c r="I6" s="153"/>
    </row>
    <row r="7" spans="1:9" ht="15.75" customHeight="1" x14ac:dyDescent="0.3">
      <c r="A7" s="159" t="s">
        <v>117</v>
      </c>
      <c r="B7" s="356" t="s">
        <v>215</v>
      </c>
      <c r="C7" s="356"/>
      <c r="D7" s="356"/>
      <c r="E7" s="160"/>
      <c r="F7" s="161"/>
      <c r="G7" s="162"/>
      <c r="H7" s="163"/>
      <c r="I7" s="162"/>
    </row>
    <row r="8" spans="1:9" ht="15.6" x14ac:dyDescent="0.3">
      <c r="A8" s="69" t="s">
        <v>58</v>
      </c>
      <c r="B8" s="303" t="s">
        <v>214</v>
      </c>
      <c r="C8" s="303"/>
      <c r="D8" s="303"/>
      <c r="E8" s="16"/>
      <c r="F8" s="156" t="s">
        <v>36</v>
      </c>
      <c r="G8" s="74">
        <v>0.25</v>
      </c>
      <c r="H8" s="76">
        <f>IF(E8="Y",0.25,0)</f>
        <v>0</v>
      </c>
      <c r="I8" s="98"/>
    </row>
    <row r="9" spans="1:9" ht="35.4" customHeight="1" x14ac:dyDescent="0.3">
      <c r="A9" s="69" t="s">
        <v>59</v>
      </c>
      <c r="B9" s="297" t="s">
        <v>71</v>
      </c>
      <c r="C9" s="297"/>
      <c r="D9" s="297"/>
      <c r="E9" s="16"/>
      <c r="F9" s="156" t="s">
        <v>36</v>
      </c>
      <c r="G9" s="74">
        <v>0.25</v>
      </c>
      <c r="H9" s="76">
        <f>IF(E9="Y",0.25,0)</f>
        <v>0</v>
      </c>
      <c r="I9" s="98"/>
    </row>
    <row r="10" spans="1:9" ht="39" customHeight="1" x14ac:dyDescent="0.3">
      <c r="A10" s="69" t="s">
        <v>216</v>
      </c>
      <c r="B10" s="297" t="s">
        <v>217</v>
      </c>
      <c r="C10" s="297"/>
      <c r="D10" s="297"/>
      <c r="E10" s="16"/>
      <c r="F10" s="156" t="s">
        <v>36</v>
      </c>
      <c r="G10" s="74">
        <v>0.25</v>
      </c>
      <c r="H10" s="76">
        <f>IF(E10="Y",0.25,0)</f>
        <v>0</v>
      </c>
      <c r="I10" s="98"/>
    </row>
    <row r="11" spans="1:9" ht="15.75" customHeight="1" x14ac:dyDescent="0.3">
      <c r="A11" s="159" t="s">
        <v>118</v>
      </c>
      <c r="B11" s="361" t="s">
        <v>72</v>
      </c>
      <c r="C11" s="361"/>
      <c r="D11" s="361"/>
      <c r="E11" s="160"/>
      <c r="F11" s="159"/>
      <c r="G11" s="162"/>
      <c r="H11" s="163"/>
      <c r="I11" s="162"/>
    </row>
    <row r="12" spans="1:9" ht="15.6" x14ac:dyDescent="0.3">
      <c r="A12" s="9" t="s">
        <v>38</v>
      </c>
      <c r="B12" s="357" t="s">
        <v>73</v>
      </c>
      <c r="C12" s="357"/>
      <c r="D12" s="357"/>
      <c r="E12" s="16"/>
      <c r="F12" s="77" t="s">
        <v>36</v>
      </c>
      <c r="G12" s="74">
        <v>0.25</v>
      </c>
      <c r="H12" s="73">
        <f>IF(E12="Y",0.25,0)</f>
        <v>0</v>
      </c>
      <c r="I12" s="98"/>
    </row>
    <row r="13" spans="1:9" ht="51" customHeight="1" x14ac:dyDescent="0.3">
      <c r="A13" s="9" t="s">
        <v>39</v>
      </c>
      <c r="B13" s="297" t="s">
        <v>218</v>
      </c>
      <c r="C13" s="297"/>
      <c r="D13" s="297"/>
      <c r="E13" s="16"/>
      <c r="F13" s="77" t="s">
        <v>36</v>
      </c>
      <c r="G13" s="74">
        <v>0.25</v>
      </c>
      <c r="H13" s="73">
        <f>IF(E13="Y",0.25,0)</f>
        <v>0</v>
      </c>
      <c r="I13" s="98"/>
    </row>
    <row r="14" spans="1:9" ht="15.6" x14ac:dyDescent="0.3">
      <c r="A14" s="348" t="s">
        <v>219</v>
      </c>
      <c r="B14" s="348"/>
      <c r="C14" s="348"/>
      <c r="D14" s="348"/>
      <c r="E14" s="348"/>
      <c r="F14" s="348"/>
      <c r="G14" s="348"/>
      <c r="H14" s="157">
        <f>MIN(SUM(H8:H13),1.25)</f>
        <v>0</v>
      </c>
      <c r="I14" s="158"/>
    </row>
    <row r="15" spans="1:9" ht="15.6" x14ac:dyDescent="0.3">
      <c r="A15" s="153" t="s">
        <v>78</v>
      </c>
      <c r="B15" s="359" t="s">
        <v>220</v>
      </c>
      <c r="C15" s="360"/>
      <c r="D15" s="360"/>
      <c r="E15" s="154"/>
      <c r="F15" s="153"/>
      <c r="G15" s="153"/>
      <c r="H15" s="155"/>
      <c r="I15" s="153"/>
    </row>
    <row r="16" spans="1:9" ht="48.6" customHeight="1" x14ac:dyDescent="0.3">
      <c r="A16" s="164"/>
      <c r="B16" s="362" t="s">
        <v>75</v>
      </c>
      <c r="C16" s="362"/>
      <c r="D16" s="362"/>
      <c r="E16" s="191"/>
      <c r="F16" s="207"/>
      <c r="G16" s="208"/>
      <c r="H16" s="194"/>
      <c r="I16" s="195"/>
    </row>
    <row r="17" spans="1:9" ht="32.1" customHeight="1" x14ac:dyDescent="0.3">
      <c r="A17" s="9" t="s">
        <v>38</v>
      </c>
      <c r="B17" s="297" t="s">
        <v>76</v>
      </c>
      <c r="C17" s="297"/>
      <c r="D17" s="297"/>
      <c r="E17" s="16"/>
      <c r="F17" s="77" t="s">
        <v>36</v>
      </c>
      <c r="G17" s="72">
        <v>0.5</v>
      </c>
      <c r="H17" s="73">
        <f t="shared" ref="H17:H18" si="0">IF(E17="Y",0.5,0)</f>
        <v>0</v>
      </c>
      <c r="I17" s="98"/>
    </row>
    <row r="18" spans="1:9" ht="32.1" customHeight="1" x14ac:dyDescent="0.3">
      <c r="A18" s="9" t="s">
        <v>39</v>
      </c>
      <c r="B18" s="297" t="s">
        <v>77</v>
      </c>
      <c r="C18" s="297"/>
      <c r="D18" s="297"/>
      <c r="E18" s="16"/>
      <c r="F18" s="77" t="s">
        <v>36</v>
      </c>
      <c r="G18" s="72">
        <v>0.5</v>
      </c>
      <c r="H18" s="73">
        <f t="shared" si="0"/>
        <v>0</v>
      </c>
      <c r="I18" s="98"/>
    </row>
    <row r="19" spans="1:9" ht="15.6" x14ac:dyDescent="0.3">
      <c r="A19" s="348" t="s">
        <v>221</v>
      </c>
      <c r="B19" s="348"/>
      <c r="C19" s="348"/>
      <c r="D19" s="348"/>
      <c r="E19" s="348"/>
      <c r="F19" s="348"/>
      <c r="G19" s="348"/>
      <c r="H19" s="157">
        <f>MIN(SUM(H17:H18),1)</f>
        <v>0</v>
      </c>
      <c r="I19" s="158"/>
    </row>
    <row r="20" spans="1:9" ht="15.6" x14ac:dyDescent="0.3">
      <c r="A20" s="153" t="s">
        <v>222</v>
      </c>
      <c r="B20" s="359" t="s">
        <v>223</v>
      </c>
      <c r="C20" s="360"/>
      <c r="D20" s="360"/>
      <c r="E20" s="154"/>
      <c r="F20" s="153"/>
      <c r="G20" s="153">
        <v>5</v>
      </c>
      <c r="H20" s="155"/>
      <c r="I20" s="153"/>
    </row>
    <row r="21" spans="1:9" ht="52.8" customHeight="1" x14ac:dyDescent="0.3">
      <c r="A21" s="9"/>
      <c r="B21" s="296" t="s">
        <v>225</v>
      </c>
      <c r="C21" s="291"/>
      <c r="D21" s="358"/>
      <c r="E21" s="16"/>
      <c r="F21" s="77" t="s">
        <v>36</v>
      </c>
      <c r="G21" s="72">
        <v>0.25</v>
      </c>
      <c r="H21" s="73">
        <f>IF(E21="Y",0.25,0)</f>
        <v>0</v>
      </c>
      <c r="I21" s="149"/>
    </row>
    <row r="22" spans="1:9" ht="15.6" x14ac:dyDescent="0.3">
      <c r="A22" s="348" t="s">
        <v>224</v>
      </c>
      <c r="B22" s="348"/>
      <c r="C22" s="348"/>
      <c r="D22" s="348"/>
      <c r="E22" s="348"/>
      <c r="F22" s="348"/>
      <c r="G22" s="348"/>
      <c r="H22" s="157">
        <f>H21</f>
        <v>0</v>
      </c>
      <c r="I22" s="158"/>
    </row>
    <row r="31" spans="1:9" x14ac:dyDescent="0.3">
      <c r="C31" s="165"/>
    </row>
  </sheetData>
  <sheetProtection algorithmName="SHA-512" hashValue="bqlLfOM/FklwGRBh2Qtmd/Z1TG1wwMqS6YYmakbmSV/MoAAYJIe/YS3LvJ903fyEJ+CmO1m2dnd9ec5b5yNtvg==" saltValue="U09exp+5xQWYthd+Fp6f/w==" spinCount="100000" sheet="1" objects="1" scenarios="1" selectLockedCells="1"/>
  <mergeCells count="22">
    <mergeCell ref="B21:D21"/>
    <mergeCell ref="A22:G22"/>
    <mergeCell ref="B15:D15"/>
    <mergeCell ref="B11:D11"/>
    <mergeCell ref="A14:G14"/>
    <mergeCell ref="B20:D20"/>
    <mergeCell ref="B16:D16"/>
    <mergeCell ref="B17:D17"/>
    <mergeCell ref="B18:D18"/>
    <mergeCell ref="A19:G19"/>
    <mergeCell ref="B6:D6"/>
    <mergeCell ref="B10:D10"/>
    <mergeCell ref="B7:D7"/>
    <mergeCell ref="B12:D12"/>
    <mergeCell ref="B13:D13"/>
    <mergeCell ref="B8:D8"/>
    <mergeCell ref="B9:D9"/>
    <mergeCell ref="B4:D4"/>
    <mergeCell ref="A5:G5"/>
    <mergeCell ref="B1:D1"/>
    <mergeCell ref="A2:F2"/>
    <mergeCell ref="B3:D3"/>
  </mergeCells>
  <dataValidations count="1">
    <dataValidation type="list" allowBlank="1" showInputMessage="1" showErrorMessage="1" sqref="E8:E10 E12:E13 E17:E18 E21 E4" xr:uid="{583F99AA-12E2-42B6-9F16-40A208E6D18F}">
      <formula1>"Y,N"</formula1>
    </dataValidation>
  </dataValidations>
  <pageMargins left="0.7" right="0.7" top="0.75" bottom="0.75" header="0.3" footer="0.3"/>
  <pageSetup paperSize="9" scale="50" orientation="portrait" r:id="rId1"/>
  <colBreaks count="1" manualBreakCount="1">
    <brk id="9" max="102"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97DC8E-3330-4106-9091-137A28BCA5DE}">
  <dimension ref="A1:G26"/>
  <sheetViews>
    <sheetView zoomScaleNormal="100" workbookViewId="0">
      <selection activeCell="C5" sqref="C5"/>
    </sheetView>
  </sheetViews>
  <sheetFormatPr defaultColWidth="8.6640625" defaultRowHeight="15.6" x14ac:dyDescent="0.3"/>
  <cols>
    <col min="1" max="1" width="8.33203125" style="147" customWidth="1"/>
    <col min="2" max="2" width="73.88671875" customWidth="1"/>
    <col min="3" max="4" width="10.6640625" customWidth="1"/>
    <col min="5" max="5" width="19" customWidth="1"/>
    <col min="6" max="6" width="10.6640625" customWidth="1"/>
    <col min="7" max="7" width="30.6640625" customWidth="1"/>
    <col min="8" max="9" width="50.6640625" customWidth="1"/>
    <col min="10" max="10" width="15.5546875" customWidth="1"/>
    <col min="11" max="11" width="17.33203125" customWidth="1"/>
  </cols>
  <sheetData>
    <row r="1" spans="1:7" ht="31.2" x14ac:dyDescent="0.3">
      <c r="A1" s="59"/>
      <c r="B1" s="17" t="s">
        <v>79</v>
      </c>
      <c r="C1" s="6" t="s">
        <v>32</v>
      </c>
      <c r="D1" s="6" t="s">
        <v>33</v>
      </c>
      <c r="E1" s="13" t="s">
        <v>44</v>
      </c>
      <c r="F1" s="6" t="s">
        <v>45</v>
      </c>
      <c r="G1" s="17" t="s">
        <v>46</v>
      </c>
    </row>
    <row r="2" spans="1:7" ht="21" x14ac:dyDescent="0.3">
      <c r="A2" s="365" t="s">
        <v>26</v>
      </c>
      <c r="B2" s="365"/>
      <c r="C2" s="365"/>
      <c r="D2" s="365"/>
      <c r="E2" s="168">
        <v>9</v>
      </c>
      <c r="F2" s="169">
        <f>MIN(SUM(F16,F20,F26),9)</f>
        <v>0</v>
      </c>
      <c r="G2" s="170" t="s">
        <v>47</v>
      </c>
    </row>
    <row r="3" spans="1:7" x14ac:dyDescent="0.3">
      <c r="A3" s="171" t="s">
        <v>111</v>
      </c>
      <c r="B3" s="363" t="s">
        <v>226</v>
      </c>
      <c r="C3" s="363"/>
      <c r="D3" s="363"/>
      <c r="E3" s="172"/>
      <c r="F3" s="173"/>
      <c r="G3" s="171"/>
    </row>
    <row r="4" spans="1:7" x14ac:dyDescent="0.3">
      <c r="A4" s="174" t="s">
        <v>117</v>
      </c>
      <c r="B4" s="175" t="s">
        <v>80</v>
      </c>
      <c r="C4" s="175"/>
      <c r="D4" s="176"/>
      <c r="E4" s="177"/>
      <c r="F4" s="178"/>
      <c r="G4" s="177"/>
    </row>
    <row r="5" spans="1:7" ht="31.2" x14ac:dyDescent="0.3">
      <c r="A5" s="74" t="s">
        <v>38</v>
      </c>
      <c r="B5" s="7" t="s">
        <v>81</v>
      </c>
      <c r="C5" s="2"/>
      <c r="D5" s="8" t="s">
        <v>36</v>
      </c>
      <c r="E5" s="72">
        <v>0.5</v>
      </c>
      <c r="F5" s="78">
        <f>IF(C5="Y",0.5,0)</f>
        <v>0</v>
      </c>
      <c r="G5" s="167"/>
    </row>
    <row r="6" spans="1:7" ht="31.2" x14ac:dyDescent="0.3">
      <c r="A6" s="366" t="s">
        <v>39</v>
      </c>
      <c r="B6" s="7" t="s">
        <v>82</v>
      </c>
      <c r="C6" s="209"/>
      <c r="D6" s="209"/>
      <c r="E6" s="208"/>
      <c r="F6" s="210"/>
      <c r="G6" s="199"/>
    </row>
    <row r="7" spans="1:7" x14ac:dyDescent="0.3">
      <c r="A7" s="366"/>
      <c r="B7" s="7" t="s">
        <v>83</v>
      </c>
      <c r="C7" s="2"/>
      <c r="D7" s="8" t="s">
        <v>36</v>
      </c>
      <c r="E7" s="72">
        <v>0.75</v>
      </c>
      <c r="F7" s="78">
        <f>IF(C7="Y",0.75,0)</f>
        <v>0</v>
      </c>
      <c r="G7" s="97"/>
    </row>
    <row r="8" spans="1:7" ht="31.2" x14ac:dyDescent="0.3">
      <c r="A8" s="366"/>
      <c r="B8" s="7" t="s">
        <v>84</v>
      </c>
      <c r="C8" s="2"/>
      <c r="D8" s="8" t="s">
        <v>36</v>
      </c>
      <c r="E8" s="72">
        <v>0.75</v>
      </c>
      <c r="F8" s="78">
        <f>IF(C8="Y",0.75,0)</f>
        <v>0</v>
      </c>
      <c r="G8" s="97"/>
    </row>
    <row r="9" spans="1:7" ht="46.8" x14ac:dyDescent="0.3">
      <c r="A9" s="74" t="s">
        <v>41</v>
      </c>
      <c r="B9" s="7" t="s">
        <v>85</v>
      </c>
      <c r="C9" s="2"/>
      <c r="D9" s="8" t="s">
        <v>36</v>
      </c>
      <c r="E9" s="72">
        <v>1</v>
      </c>
      <c r="F9" s="78">
        <f>IF(C9="Y",1,0)</f>
        <v>0</v>
      </c>
      <c r="G9" s="97"/>
    </row>
    <row r="10" spans="1:7" x14ac:dyDescent="0.3">
      <c r="A10" s="174" t="s">
        <v>118</v>
      </c>
      <c r="B10" s="175" t="s">
        <v>229</v>
      </c>
      <c r="C10" s="175"/>
      <c r="D10" s="176"/>
      <c r="E10" s="177"/>
      <c r="F10" s="178"/>
      <c r="G10" s="177"/>
    </row>
    <row r="11" spans="1:7" ht="31.2" x14ac:dyDescent="0.3">
      <c r="A11" s="367"/>
      <c r="B11" s="7" t="s">
        <v>86</v>
      </c>
      <c r="C11" s="209"/>
      <c r="D11" s="209"/>
      <c r="E11" s="208"/>
      <c r="F11" s="210"/>
      <c r="G11" s="199"/>
    </row>
    <row r="12" spans="1:7" ht="31.2" x14ac:dyDescent="0.3">
      <c r="A12" s="368"/>
      <c r="B12" s="12" t="s">
        <v>227</v>
      </c>
      <c r="C12" s="2"/>
      <c r="D12" s="8" t="s">
        <v>36</v>
      </c>
      <c r="E12" s="179">
        <v>0.5</v>
      </c>
      <c r="F12" s="180">
        <f>IF(C12="Y",0.5,0)</f>
        <v>0</v>
      </c>
      <c r="G12" s="97"/>
    </row>
    <row r="13" spans="1:7" ht="31.2" x14ac:dyDescent="0.3">
      <c r="A13" s="369"/>
      <c r="B13" s="7" t="s">
        <v>228</v>
      </c>
      <c r="C13" s="2"/>
      <c r="D13" s="8" t="s">
        <v>36</v>
      </c>
      <c r="E13" s="179">
        <v>0.5</v>
      </c>
      <c r="F13" s="180">
        <f>IF(C13="Y",0.5,0)</f>
        <v>0</v>
      </c>
      <c r="G13" s="97"/>
    </row>
    <row r="14" spans="1:7" x14ac:dyDescent="0.3">
      <c r="A14" s="174" t="s">
        <v>128</v>
      </c>
      <c r="B14" s="175" t="s">
        <v>230</v>
      </c>
      <c r="C14" s="175"/>
      <c r="D14" s="176"/>
      <c r="E14" s="177"/>
      <c r="F14" s="178"/>
      <c r="G14" s="177"/>
    </row>
    <row r="15" spans="1:7" ht="60.9" customHeight="1" x14ac:dyDescent="0.3">
      <c r="A15" s="181"/>
      <c r="B15" s="7" t="s">
        <v>231</v>
      </c>
      <c r="C15" s="2"/>
      <c r="D15" s="8" t="s">
        <v>36</v>
      </c>
      <c r="E15" s="179">
        <v>0.5</v>
      </c>
      <c r="F15" s="180">
        <f t="shared" ref="F15" si="0">IF(C15="Y",0.5,0)</f>
        <v>0</v>
      </c>
      <c r="G15" s="97"/>
    </row>
    <row r="16" spans="1:7" x14ac:dyDescent="0.3">
      <c r="A16" s="182"/>
      <c r="B16" s="364" t="s">
        <v>232</v>
      </c>
      <c r="C16" s="364"/>
      <c r="D16" s="364"/>
      <c r="E16" s="364"/>
      <c r="F16" s="183">
        <f>SUM(F5:F15)</f>
        <v>0</v>
      </c>
      <c r="G16" s="184"/>
    </row>
    <row r="17" spans="1:7" x14ac:dyDescent="0.3">
      <c r="A17" s="171" t="s">
        <v>112</v>
      </c>
      <c r="B17" s="363" t="s">
        <v>87</v>
      </c>
      <c r="C17" s="363"/>
      <c r="D17" s="363"/>
      <c r="E17" s="172"/>
      <c r="F17" s="173"/>
      <c r="G17" s="171"/>
    </row>
    <row r="18" spans="1:7" ht="62.4" x14ac:dyDescent="0.3">
      <c r="A18" s="181" t="s">
        <v>117</v>
      </c>
      <c r="B18" s="7" t="s">
        <v>88</v>
      </c>
      <c r="C18" s="2"/>
      <c r="D18" s="8" t="s">
        <v>36</v>
      </c>
      <c r="E18" s="72">
        <v>1</v>
      </c>
      <c r="F18" s="180">
        <f>IF(C18="Y",1,0)</f>
        <v>0</v>
      </c>
      <c r="G18" s="97"/>
    </row>
    <row r="19" spans="1:7" ht="109.2" x14ac:dyDescent="0.3">
      <c r="A19" s="181" t="s">
        <v>118</v>
      </c>
      <c r="B19" s="185" t="s">
        <v>89</v>
      </c>
      <c r="C19" s="2"/>
      <c r="D19" s="8" t="s">
        <v>36</v>
      </c>
      <c r="E19" s="72">
        <v>0.5</v>
      </c>
      <c r="F19" s="180">
        <f>IF(C19="Y",0.5,0)</f>
        <v>0</v>
      </c>
      <c r="G19" s="97"/>
    </row>
    <row r="20" spans="1:7" x14ac:dyDescent="0.3">
      <c r="A20" s="182"/>
      <c r="B20" s="364" t="s">
        <v>233</v>
      </c>
      <c r="C20" s="364"/>
      <c r="D20" s="364"/>
      <c r="E20" s="364"/>
      <c r="F20" s="183">
        <f>SUM(F18:F19)</f>
        <v>0</v>
      </c>
      <c r="G20" s="184"/>
    </row>
    <row r="21" spans="1:7" x14ac:dyDescent="0.3">
      <c r="A21" s="171" t="s">
        <v>113</v>
      </c>
      <c r="B21" s="363" t="s">
        <v>30</v>
      </c>
      <c r="C21" s="363"/>
      <c r="D21" s="363"/>
      <c r="E21" s="172"/>
      <c r="F21" s="173"/>
      <c r="G21" s="171"/>
    </row>
    <row r="22" spans="1:7" ht="46.8" x14ac:dyDescent="0.3">
      <c r="A22" s="181" t="s">
        <v>38</v>
      </c>
      <c r="B22" s="7" t="s">
        <v>235</v>
      </c>
      <c r="C22" s="2"/>
      <c r="D22" s="8" t="s">
        <v>36</v>
      </c>
      <c r="E22" s="72">
        <v>1</v>
      </c>
      <c r="F22" s="180">
        <f>IF(C22="Y",1,0)</f>
        <v>0</v>
      </c>
      <c r="G22" s="97"/>
    </row>
    <row r="23" spans="1:7" ht="46.8" x14ac:dyDescent="0.3">
      <c r="A23" s="181" t="s">
        <v>39</v>
      </c>
      <c r="B23" s="186" t="s">
        <v>234</v>
      </c>
      <c r="C23" s="2"/>
      <c r="D23" s="8" t="s">
        <v>36</v>
      </c>
      <c r="E23" s="72">
        <v>1</v>
      </c>
      <c r="F23" s="180">
        <f>IF(C23="Y",1,0)</f>
        <v>0</v>
      </c>
      <c r="G23" s="97"/>
    </row>
    <row r="24" spans="1:7" ht="46.8" x14ac:dyDescent="0.3">
      <c r="A24" s="181" t="s">
        <v>41</v>
      </c>
      <c r="B24" s="186" t="s">
        <v>236</v>
      </c>
      <c r="C24" s="2"/>
      <c r="D24" s="8" t="s">
        <v>36</v>
      </c>
      <c r="E24" s="72">
        <v>0.5</v>
      </c>
      <c r="F24" s="180">
        <f>IF(C24="Y",0.5,0)</f>
        <v>0</v>
      </c>
      <c r="G24" s="97"/>
    </row>
    <row r="25" spans="1:7" ht="46.8" x14ac:dyDescent="0.3">
      <c r="A25" s="181" t="s">
        <v>42</v>
      </c>
      <c r="B25" s="186" t="s">
        <v>90</v>
      </c>
      <c r="C25" s="2"/>
      <c r="D25" s="8" t="s">
        <v>36</v>
      </c>
      <c r="E25" s="72">
        <v>0.5</v>
      </c>
      <c r="F25" s="180">
        <f>IF(C25="Y",0.5,0)</f>
        <v>0</v>
      </c>
      <c r="G25" s="97"/>
    </row>
    <row r="26" spans="1:7" x14ac:dyDescent="0.3">
      <c r="A26" s="182"/>
      <c r="B26" s="364" t="s">
        <v>237</v>
      </c>
      <c r="C26" s="364"/>
      <c r="D26" s="364"/>
      <c r="E26" s="364"/>
      <c r="F26" s="183">
        <f>SUM(F22:F25)</f>
        <v>0</v>
      </c>
      <c r="G26" s="184"/>
    </row>
  </sheetData>
  <sheetProtection algorithmName="SHA-512" hashValue="R1pczCBlbiwjJi1UYuHiPSu0n0E5Z9ULQs4EWBhTXUbGT0I5M9jjqPGsFYHnID1/3I8IooEf5fjmtGRifGNdaA==" saltValue="rFRDDeV4lm5LR+e1K7j0fA==" spinCount="100000" sheet="1" objects="1" scenarios="1" selectLockedCells="1"/>
  <mergeCells count="9">
    <mergeCell ref="B17:D17"/>
    <mergeCell ref="B20:E20"/>
    <mergeCell ref="B21:D21"/>
    <mergeCell ref="B26:E26"/>
    <mergeCell ref="A2:D2"/>
    <mergeCell ref="B3:D3"/>
    <mergeCell ref="A6:A8"/>
    <mergeCell ref="A11:A13"/>
    <mergeCell ref="B16:E16"/>
  </mergeCells>
  <dataValidations count="1">
    <dataValidation type="list" allowBlank="1" showInputMessage="1" showErrorMessage="1" sqref="C22:C25 C5 C7:C9 C12:C13 C15 C18:C19" xr:uid="{18976767-44C9-480D-B57B-649C06FB3156}">
      <formula1>"Y,N"</formula1>
    </dataValidation>
  </dataValidations>
  <pageMargins left="0.7" right="0.7" top="0.75" bottom="0.75" header="0.3" footer="0.3"/>
  <pageSetup paperSize="9" scale="53" orientation="portrait" r:id="rId1"/>
  <ignoredErrors>
    <ignoredError sqref="F23:F24"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38"/>
  <sheetViews>
    <sheetView zoomScaleNormal="100" workbookViewId="0">
      <selection activeCell="C12" sqref="C12"/>
    </sheetView>
  </sheetViews>
  <sheetFormatPr defaultColWidth="9.109375" defaultRowHeight="15.6" x14ac:dyDescent="0.3"/>
  <cols>
    <col min="1" max="1" width="8.33203125" style="147" customWidth="1"/>
    <col min="2" max="2" width="65.6640625" customWidth="1"/>
    <col min="3" max="3" width="16" customWidth="1"/>
    <col min="4" max="4" width="15.21875" customWidth="1"/>
    <col min="5" max="5" width="20.88671875" customWidth="1"/>
    <col min="6" max="6" width="17.109375" style="4" customWidth="1"/>
    <col min="7" max="7" width="35.77734375" customWidth="1"/>
    <col min="8" max="8" width="50.44140625" style="51" customWidth="1"/>
    <col min="9" max="9" width="50.6640625" customWidth="1"/>
    <col min="10" max="10" width="17.33203125" customWidth="1"/>
    <col min="11" max="14" width="9.109375" hidden="1" customWidth="1"/>
  </cols>
  <sheetData>
    <row r="1" spans="1:14" ht="30.9" customHeight="1" x14ac:dyDescent="0.3">
      <c r="A1" s="59"/>
      <c r="B1" s="17" t="s">
        <v>91</v>
      </c>
      <c r="C1" s="6" t="s">
        <v>32</v>
      </c>
      <c r="D1" s="6" t="s">
        <v>33</v>
      </c>
      <c r="E1" s="13" t="s">
        <v>44</v>
      </c>
      <c r="F1" s="13" t="s">
        <v>45</v>
      </c>
      <c r="G1" s="6" t="s">
        <v>46</v>
      </c>
      <c r="K1" s="387" t="s">
        <v>92</v>
      </c>
      <c r="L1" s="387"/>
      <c r="M1" s="387" t="s">
        <v>92</v>
      </c>
      <c r="N1" s="387"/>
    </row>
    <row r="2" spans="1:14" ht="18" x14ac:dyDescent="0.3">
      <c r="A2" s="385" t="s">
        <v>27</v>
      </c>
      <c r="B2" s="386"/>
      <c r="C2" s="211"/>
      <c r="D2" s="211"/>
      <c r="E2" s="212">
        <v>9</v>
      </c>
      <c r="F2" s="213">
        <f>MIN(SUM(F5,F20,F38),9)</f>
        <v>0</v>
      </c>
      <c r="G2" s="214"/>
      <c r="K2" s="388"/>
      <c r="L2" s="388"/>
      <c r="M2" s="388"/>
      <c r="N2" s="388"/>
    </row>
    <row r="3" spans="1:14" x14ac:dyDescent="0.3">
      <c r="A3" s="215" t="s">
        <v>114</v>
      </c>
      <c r="B3" s="382" t="s">
        <v>238</v>
      </c>
      <c r="C3" s="383"/>
      <c r="D3" s="384"/>
      <c r="E3" s="216"/>
      <c r="F3" s="216"/>
      <c r="G3" s="217" t="s">
        <v>47</v>
      </c>
      <c r="K3" s="389">
        <f>'[3]Maintainability Score Summary'!$F$8</f>
        <v>0</v>
      </c>
      <c r="L3" s="390"/>
      <c r="M3" s="389">
        <f>IF(K3=0,'[4]Maintainability Score Summary'!$F$8,0)</f>
        <v>0</v>
      </c>
      <c r="N3" s="390"/>
    </row>
    <row r="4" spans="1:14" x14ac:dyDescent="0.3">
      <c r="A4" s="74"/>
      <c r="B4" s="7" t="s">
        <v>240</v>
      </c>
      <c r="C4" s="30"/>
      <c r="D4" s="8" t="s">
        <v>36</v>
      </c>
      <c r="E4" s="72">
        <v>1</v>
      </c>
      <c r="F4" s="78">
        <f>IF(C4="Y",1,0)</f>
        <v>0</v>
      </c>
      <c r="G4" s="187"/>
      <c r="K4" s="391">
        <f>'[3]Maintainability Score Summary'!$F$10</f>
        <v>0</v>
      </c>
      <c r="L4" s="392"/>
      <c r="M4" s="391">
        <f>IF(K4=0,'[4]Maintainability Score Summary'!$F$10,0)</f>
        <v>0</v>
      </c>
      <c r="N4" s="392"/>
    </row>
    <row r="5" spans="1:14" x14ac:dyDescent="0.3">
      <c r="A5" s="219"/>
      <c r="B5" s="380" t="s">
        <v>239</v>
      </c>
      <c r="C5" s="380"/>
      <c r="D5" s="380"/>
      <c r="E5" s="381"/>
      <c r="F5" s="220">
        <f>F4</f>
        <v>0</v>
      </c>
      <c r="G5" s="221"/>
      <c r="K5" s="393">
        <f>'[3]Maintainability Score Summary'!$F$26</f>
        <v>0</v>
      </c>
      <c r="L5" s="394"/>
      <c r="M5" s="393">
        <f>IF(K5=0,'[4]Maintainability Score Summary'!$F$27,0)</f>
        <v>0</v>
      </c>
      <c r="N5" s="394"/>
    </row>
    <row r="6" spans="1:14" x14ac:dyDescent="0.3">
      <c r="A6" s="215" t="s">
        <v>115</v>
      </c>
      <c r="B6" s="382" t="s">
        <v>241</v>
      </c>
      <c r="C6" s="383"/>
      <c r="D6" s="384"/>
      <c r="E6" s="216"/>
      <c r="F6" s="216"/>
      <c r="G6" s="217" t="s">
        <v>47</v>
      </c>
      <c r="K6" s="389">
        <f>'[3]Maintainability Score Summary'!$F$8</f>
        <v>0</v>
      </c>
      <c r="L6" s="390"/>
      <c r="M6" s="389">
        <f>IF(K6=0,'[4]Maintainability Score Summary'!$F$8,0)</f>
        <v>0</v>
      </c>
      <c r="N6" s="390"/>
    </row>
    <row r="7" spans="1:14" x14ac:dyDescent="0.3">
      <c r="A7" s="66">
        <v>2.1</v>
      </c>
      <c r="B7" s="222" t="str">
        <f>'[3]Maintainability Score Summary'!$B$27</f>
        <v>Chiller Plant</v>
      </c>
      <c r="C7" s="223"/>
      <c r="D7" s="222"/>
      <c r="E7" s="224"/>
      <c r="F7" s="224"/>
      <c r="G7" s="225"/>
      <c r="K7" s="391">
        <f>'[3]Maintainability Score Summary'!$F$27</f>
        <v>0</v>
      </c>
      <c r="L7" s="392"/>
      <c r="M7" s="391">
        <f>IF(K7=0,'[4]Maintainability Score Summary'!$F$28,0)</f>
        <v>0</v>
      </c>
      <c r="N7" s="392"/>
    </row>
    <row r="8" spans="1:14" ht="62.4" x14ac:dyDescent="0.3">
      <c r="A8" s="74" t="s">
        <v>242</v>
      </c>
      <c r="B8" s="12" t="s">
        <v>244</v>
      </c>
      <c r="C8" s="30"/>
      <c r="D8" s="8" t="s">
        <v>36</v>
      </c>
      <c r="E8" s="179">
        <v>0.5</v>
      </c>
      <c r="F8" s="78">
        <f t="shared" ref="F8" si="0">IF(C8="Y",0.5,0)</f>
        <v>0</v>
      </c>
      <c r="G8" s="187"/>
      <c r="K8" s="391">
        <f>'[3]Maintainability Score Summary'!$F$28</f>
        <v>0</v>
      </c>
      <c r="L8" s="392"/>
      <c r="M8" s="391">
        <f>IF(K8=0,'[4]Maintainability Score Summary'!$F$29,0)</f>
        <v>0</v>
      </c>
      <c r="N8" s="392"/>
    </row>
    <row r="9" spans="1:14" x14ac:dyDescent="0.3">
      <c r="A9" s="226" t="s">
        <v>243</v>
      </c>
      <c r="B9" s="227" t="s">
        <v>245</v>
      </c>
      <c r="C9" s="209"/>
      <c r="D9" s="228"/>
      <c r="E9" s="229"/>
      <c r="F9" s="202"/>
      <c r="G9" s="230"/>
      <c r="K9" s="218"/>
      <c r="L9" s="72"/>
      <c r="M9" s="218"/>
      <c r="N9" s="72"/>
    </row>
    <row r="10" spans="1:14" ht="78" x14ac:dyDescent="0.3">
      <c r="A10" s="226" t="s">
        <v>117</v>
      </c>
      <c r="B10" s="227" t="s">
        <v>246</v>
      </c>
      <c r="C10" s="30"/>
      <c r="D10" s="8" t="s">
        <v>36</v>
      </c>
      <c r="E10" s="179">
        <v>0.5</v>
      </c>
      <c r="F10" s="78">
        <f t="shared" ref="F10:F11" si="1">IF(C10="Y",0.5,0)</f>
        <v>0</v>
      </c>
      <c r="G10" s="187"/>
      <c r="K10" s="218"/>
      <c r="L10" s="72"/>
      <c r="M10" s="218"/>
      <c r="N10" s="72"/>
    </row>
    <row r="11" spans="1:14" x14ac:dyDescent="0.3">
      <c r="A11" s="226" t="s">
        <v>118</v>
      </c>
      <c r="B11" s="227" t="s">
        <v>247</v>
      </c>
      <c r="C11" s="30"/>
      <c r="D11" s="8" t="s">
        <v>36</v>
      </c>
      <c r="E11" s="179">
        <v>0.5</v>
      </c>
      <c r="F11" s="78">
        <f t="shared" si="1"/>
        <v>0</v>
      </c>
      <c r="G11" s="187"/>
      <c r="K11" s="218"/>
      <c r="L11" s="72"/>
      <c r="M11" s="218"/>
      <c r="N11" s="72"/>
    </row>
    <row r="12" spans="1:14" ht="62.4" x14ac:dyDescent="0.3">
      <c r="A12" s="226" t="s">
        <v>128</v>
      </c>
      <c r="B12" s="227" t="s">
        <v>248</v>
      </c>
      <c r="C12" s="30"/>
      <c r="D12" s="8" t="s">
        <v>36</v>
      </c>
      <c r="E12" s="179">
        <v>1</v>
      </c>
      <c r="F12" s="78">
        <f>IF(C12="Y",1,0)</f>
        <v>0</v>
      </c>
      <c r="G12" s="187"/>
      <c r="K12" s="218"/>
      <c r="L12" s="72"/>
      <c r="M12" s="218"/>
      <c r="N12" s="72"/>
    </row>
    <row r="13" spans="1:14" x14ac:dyDescent="0.3">
      <c r="A13" s="66">
        <v>2.2000000000000002</v>
      </c>
      <c r="B13" s="222" t="s">
        <v>249</v>
      </c>
      <c r="C13" s="223"/>
      <c r="D13" s="222"/>
      <c r="E13" s="224"/>
      <c r="F13" s="224"/>
      <c r="G13" s="225"/>
      <c r="K13" s="391">
        <f>'[3]Maintainability Score Summary'!$F$27</f>
        <v>0</v>
      </c>
      <c r="L13" s="392"/>
      <c r="M13" s="391">
        <f>IF(K13=0,'[4]Maintainability Score Summary'!$F$28,0)</f>
        <v>0</v>
      </c>
      <c r="N13" s="392"/>
    </row>
    <row r="14" spans="1:14" x14ac:dyDescent="0.3">
      <c r="A14" s="226" t="s">
        <v>250</v>
      </c>
      <c r="B14" s="227" t="s">
        <v>251</v>
      </c>
      <c r="C14" s="209"/>
      <c r="D14" s="209"/>
      <c r="E14" s="229"/>
      <c r="F14" s="210"/>
      <c r="G14" s="230"/>
      <c r="K14" s="218"/>
      <c r="L14" s="72"/>
      <c r="M14" s="218"/>
      <c r="N14" s="72"/>
    </row>
    <row r="15" spans="1:14" ht="31.2" x14ac:dyDescent="0.3">
      <c r="A15" s="226" t="s">
        <v>117</v>
      </c>
      <c r="B15" s="227" t="s">
        <v>252</v>
      </c>
      <c r="C15" s="30"/>
      <c r="D15" s="8" t="s">
        <v>36</v>
      </c>
      <c r="E15" s="179">
        <v>0.5</v>
      </c>
      <c r="F15" s="78">
        <f t="shared" ref="F15:F16" si="2">IF(C15="Y",0.5,0)</f>
        <v>0</v>
      </c>
      <c r="G15" s="187"/>
      <c r="K15" s="218"/>
      <c r="L15" s="72"/>
      <c r="M15" s="218"/>
      <c r="N15" s="72"/>
    </row>
    <row r="16" spans="1:14" ht="31.2" x14ac:dyDescent="0.3">
      <c r="A16" s="226" t="s">
        <v>118</v>
      </c>
      <c r="B16" s="227" t="s">
        <v>253</v>
      </c>
      <c r="C16" s="30"/>
      <c r="D16" s="8" t="s">
        <v>36</v>
      </c>
      <c r="E16" s="179">
        <v>0.5</v>
      </c>
      <c r="F16" s="78">
        <f t="shared" si="2"/>
        <v>0</v>
      </c>
      <c r="G16" s="187"/>
      <c r="K16" s="218"/>
      <c r="L16" s="72"/>
      <c r="M16" s="218"/>
      <c r="N16" s="72"/>
    </row>
    <row r="17" spans="1:14" ht="31.2" x14ac:dyDescent="0.3">
      <c r="A17" s="226" t="s">
        <v>254</v>
      </c>
      <c r="B17" s="227" t="s">
        <v>255</v>
      </c>
      <c r="C17" s="209"/>
      <c r="D17" s="209"/>
      <c r="E17" s="229"/>
      <c r="F17" s="210"/>
      <c r="G17" s="230"/>
      <c r="K17" s="218"/>
      <c r="L17" s="72"/>
      <c r="M17" s="218"/>
      <c r="N17" s="72"/>
    </row>
    <row r="18" spans="1:14" ht="31.2" x14ac:dyDescent="0.3">
      <c r="A18" s="226" t="s">
        <v>117</v>
      </c>
      <c r="B18" s="227" t="s">
        <v>256</v>
      </c>
      <c r="C18" s="30"/>
      <c r="D18" s="8" t="s">
        <v>36</v>
      </c>
      <c r="E18" s="179">
        <v>0.5</v>
      </c>
      <c r="F18" s="78">
        <f t="shared" ref="F18:F19" si="3">IF(C18="Y",0.5,0)</f>
        <v>0</v>
      </c>
      <c r="G18" s="187"/>
      <c r="K18" s="218"/>
      <c r="L18" s="72"/>
      <c r="M18" s="218"/>
      <c r="N18" s="72"/>
    </row>
    <row r="19" spans="1:14" ht="31.2" x14ac:dyDescent="0.3">
      <c r="A19" s="226" t="s">
        <v>118</v>
      </c>
      <c r="B19" s="227" t="s">
        <v>257</v>
      </c>
      <c r="C19" s="30"/>
      <c r="D19" s="8" t="s">
        <v>36</v>
      </c>
      <c r="E19" s="179">
        <v>0.5</v>
      </c>
      <c r="F19" s="78">
        <f t="shared" si="3"/>
        <v>0</v>
      </c>
      <c r="G19" s="187"/>
      <c r="K19" s="218"/>
      <c r="L19" s="72"/>
      <c r="M19" s="218"/>
      <c r="N19" s="72"/>
    </row>
    <row r="20" spans="1:14" x14ac:dyDescent="0.3">
      <c r="A20" s="219"/>
      <c r="B20" s="380" t="s">
        <v>258</v>
      </c>
      <c r="C20" s="380"/>
      <c r="D20" s="380"/>
      <c r="E20" s="381"/>
      <c r="F20" s="220">
        <f>SUM(F8:F19)</f>
        <v>0</v>
      </c>
      <c r="G20" s="221"/>
      <c r="K20" s="393">
        <f>'[3]Maintainability Score Summary'!$F$29</f>
        <v>0</v>
      </c>
      <c r="L20" s="394"/>
      <c r="M20" s="393">
        <f>IF(K20=0,'[4]Maintainability Score Summary'!$F$30,0)</f>
        <v>0</v>
      </c>
      <c r="N20" s="394"/>
    </row>
    <row r="21" spans="1:14" x14ac:dyDescent="0.3">
      <c r="A21" s="215" t="s">
        <v>116</v>
      </c>
      <c r="B21" s="382" t="s">
        <v>259</v>
      </c>
      <c r="C21" s="383"/>
      <c r="D21" s="384"/>
      <c r="E21" s="216"/>
      <c r="F21" s="216"/>
      <c r="G21" s="217" t="s">
        <v>47</v>
      </c>
      <c r="K21" s="389">
        <f>'[3]Maintainability Score Summary'!$F$8</f>
        <v>0</v>
      </c>
      <c r="L21" s="390"/>
      <c r="M21" s="389">
        <f>IF(K21=0,'[4]Maintainability Score Summary'!$F$8,0)</f>
        <v>0</v>
      </c>
      <c r="N21" s="390"/>
    </row>
    <row r="22" spans="1:14" x14ac:dyDescent="0.3">
      <c r="A22" s="66">
        <v>3.1</v>
      </c>
      <c r="B22" s="222" t="s">
        <v>260</v>
      </c>
      <c r="C22" s="223"/>
      <c r="D22" s="222"/>
      <c r="E22" s="224"/>
      <c r="F22" s="224"/>
      <c r="G22" s="225"/>
      <c r="K22" s="391">
        <f>'[3]Maintainability Score Summary'!$F$27</f>
        <v>0</v>
      </c>
      <c r="L22" s="392"/>
      <c r="M22" s="391">
        <f>IF(K22=0,'[4]Maintainability Score Summary'!$F$28,0)</f>
        <v>0</v>
      </c>
      <c r="N22" s="392"/>
    </row>
    <row r="23" spans="1:14" x14ac:dyDescent="0.3">
      <c r="A23" s="74" t="s">
        <v>261</v>
      </c>
      <c r="B23" s="12" t="s">
        <v>262</v>
      </c>
      <c r="C23" s="209"/>
      <c r="D23" s="198"/>
      <c r="E23" s="208"/>
      <c r="F23" s="208"/>
      <c r="G23" s="230"/>
      <c r="K23" s="391"/>
      <c r="L23" s="392"/>
      <c r="M23" s="391"/>
      <c r="N23" s="392"/>
    </row>
    <row r="24" spans="1:14" ht="44.4" customHeight="1" x14ac:dyDescent="0.3">
      <c r="A24" s="74" t="s">
        <v>117</v>
      </c>
      <c r="B24" s="12" t="s">
        <v>263</v>
      </c>
      <c r="C24" s="372"/>
      <c r="D24" s="374" t="s">
        <v>36</v>
      </c>
      <c r="E24" s="376">
        <v>0.5</v>
      </c>
      <c r="F24" s="378">
        <f>IF(ISTEXT(C24),0.5,0)</f>
        <v>0</v>
      </c>
      <c r="G24" s="370"/>
      <c r="K24" s="391"/>
      <c r="L24" s="392"/>
      <c r="M24" s="391"/>
      <c r="N24" s="392"/>
    </row>
    <row r="25" spans="1:14" ht="49.2" customHeight="1" x14ac:dyDescent="0.3">
      <c r="A25" s="74" t="s">
        <v>118</v>
      </c>
      <c r="B25" s="12" t="s">
        <v>264</v>
      </c>
      <c r="C25" s="373"/>
      <c r="D25" s="375"/>
      <c r="E25" s="377"/>
      <c r="F25" s="379"/>
      <c r="G25" s="371"/>
      <c r="K25" s="391"/>
      <c r="L25" s="392"/>
      <c r="M25" s="391"/>
      <c r="N25" s="392"/>
    </row>
    <row r="26" spans="1:14" x14ac:dyDescent="0.3">
      <c r="A26" s="74" t="s">
        <v>265</v>
      </c>
      <c r="B26" s="12" t="s">
        <v>266</v>
      </c>
      <c r="C26" s="209"/>
      <c r="D26" s="198"/>
      <c r="E26" s="208"/>
      <c r="F26" s="231"/>
      <c r="G26" s="230"/>
      <c r="K26" s="389">
        <f>'[3]Maintainability Score Summary'!$F$35</f>
        <v>0</v>
      </c>
      <c r="L26" s="390"/>
      <c r="M26" s="389">
        <f>IF(K26=0,'[4]Maintainability Score Summary'!$F$36,0)</f>
        <v>0</v>
      </c>
      <c r="N26" s="390"/>
    </row>
    <row r="27" spans="1:14" ht="31.2" x14ac:dyDescent="0.3">
      <c r="A27" s="74" t="s">
        <v>117</v>
      </c>
      <c r="B27" s="12" t="s">
        <v>267</v>
      </c>
      <c r="C27" s="30"/>
      <c r="D27" s="8" t="s">
        <v>36</v>
      </c>
      <c r="E27" s="179">
        <v>0.5</v>
      </c>
      <c r="F27" s="78">
        <f t="shared" ref="F27:F28" si="4">IF(C27="Y",0.5,0)</f>
        <v>0</v>
      </c>
      <c r="G27" s="187"/>
      <c r="K27" s="391">
        <f>'[3]Maintainability Score Summary'!$F$36</f>
        <v>0</v>
      </c>
      <c r="L27" s="392"/>
      <c r="M27" s="391">
        <f>IF(K27=0,'[4]Maintainability Score Summary'!$F$37,0)</f>
        <v>0</v>
      </c>
      <c r="N27" s="392"/>
    </row>
    <row r="28" spans="1:14" ht="31.2" x14ac:dyDescent="0.3">
      <c r="A28" s="74" t="s">
        <v>118</v>
      </c>
      <c r="B28" s="12" t="s">
        <v>268</v>
      </c>
      <c r="C28" s="30"/>
      <c r="D28" s="8" t="s">
        <v>36</v>
      </c>
      <c r="E28" s="179">
        <v>0.5</v>
      </c>
      <c r="F28" s="78">
        <f t="shared" si="4"/>
        <v>0</v>
      </c>
      <c r="G28" s="187"/>
      <c r="K28" s="391">
        <f>'[3]Maintainability Score Summary'!$F$37</f>
        <v>0</v>
      </c>
      <c r="L28" s="392"/>
      <c r="M28" s="391">
        <f>IF(K28=0,'[4]Maintainability Score Summary'!$F$38,0)</f>
        <v>0</v>
      </c>
      <c r="N28" s="392"/>
    </row>
    <row r="29" spans="1:14" x14ac:dyDescent="0.3">
      <c r="A29" s="66">
        <v>3.2</v>
      </c>
      <c r="B29" s="222" t="s">
        <v>270</v>
      </c>
      <c r="C29" s="223"/>
      <c r="D29" s="222"/>
      <c r="E29" s="224"/>
      <c r="F29" s="224"/>
      <c r="G29" s="225"/>
      <c r="K29" s="218"/>
      <c r="L29" s="72"/>
      <c r="M29" s="218"/>
      <c r="N29" s="72"/>
    </row>
    <row r="30" spans="1:14" ht="62.4" x14ac:dyDescent="0.3">
      <c r="A30" s="226"/>
      <c r="B30" s="232" t="s">
        <v>271</v>
      </c>
      <c r="C30" s="30"/>
      <c r="D30" s="8" t="s">
        <v>36</v>
      </c>
      <c r="E30" s="179">
        <v>0.5</v>
      </c>
      <c r="F30" s="78">
        <f t="shared" ref="F30" si="5">IF(C30="Y",0.5,0)</f>
        <v>0</v>
      </c>
      <c r="G30" s="187"/>
      <c r="K30" s="218"/>
      <c r="L30" s="72"/>
      <c r="M30" s="218"/>
      <c r="N30" s="72"/>
    </row>
    <row r="31" spans="1:14" x14ac:dyDescent="0.3">
      <c r="A31" s="66">
        <v>3.3</v>
      </c>
      <c r="B31" s="222" t="s">
        <v>272</v>
      </c>
      <c r="C31" s="223"/>
      <c r="D31" s="222"/>
      <c r="E31" s="224"/>
      <c r="F31" s="224"/>
      <c r="G31" s="225"/>
      <c r="K31" s="218"/>
      <c r="L31" s="72"/>
      <c r="M31" s="218"/>
      <c r="N31" s="72"/>
    </row>
    <row r="32" spans="1:14" ht="46.8" x14ac:dyDescent="0.3">
      <c r="A32" s="74" t="s">
        <v>117</v>
      </c>
      <c r="B32" s="232" t="s">
        <v>273</v>
      </c>
      <c r="C32" s="30"/>
      <c r="D32" s="8" t="s">
        <v>36</v>
      </c>
      <c r="E32" s="179">
        <v>0.5</v>
      </c>
      <c r="F32" s="78">
        <f t="shared" ref="F32:F33" si="6">IF(C32="Y",0.5,0)</f>
        <v>0</v>
      </c>
      <c r="G32" s="187"/>
      <c r="K32" s="218"/>
      <c r="L32" s="72"/>
      <c r="M32" s="218"/>
      <c r="N32" s="72"/>
    </row>
    <row r="33" spans="1:14" ht="31.2" x14ac:dyDescent="0.3">
      <c r="A33" s="74" t="s">
        <v>118</v>
      </c>
      <c r="B33" s="232" t="s">
        <v>274</v>
      </c>
      <c r="C33" s="30"/>
      <c r="D33" s="8" t="s">
        <v>36</v>
      </c>
      <c r="E33" s="179">
        <v>0.5</v>
      </c>
      <c r="F33" s="78">
        <f t="shared" si="6"/>
        <v>0</v>
      </c>
      <c r="G33" s="187"/>
      <c r="K33" s="218"/>
      <c r="L33" s="72"/>
      <c r="M33" s="218"/>
      <c r="N33" s="72"/>
    </row>
    <row r="34" spans="1:14" ht="31.2" x14ac:dyDescent="0.3">
      <c r="A34" s="226"/>
      <c r="B34" s="233" t="s">
        <v>275</v>
      </c>
      <c r="C34" s="209"/>
      <c r="D34" s="234"/>
      <c r="E34" s="235"/>
      <c r="F34" s="210"/>
      <c r="G34" s="230"/>
      <c r="K34" s="218"/>
      <c r="L34" s="72"/>
      <c r="M34" s="218"/>
      <c r="N34" s="72"/>
    </row>
    <row r="35" spans="1:14" x14ac:dyDescent="0.3">
      <c r="A35" s="66">
        <v>3.4</v>
      </c>
      <c r="B35" s="222" t="s">
        <v>276</v>
      </c>
      <c r="C35" s="223"/>
      <c r="D35" s="222"/>
      <c r="E35" s="224"/>
      <c r="F35" s="224"/>
      <c r="G35" s="225"/>
      <c r="K35" s="218"/>
      <c r="L35" s="72"/>
      <c r="M35" s="218"/>
      <c r="N35" s="72"/>
    </row>
    <row r="36" spans="1:14" ht="31.2" x14ac:dyDescent="0.3">
      <c r="A36" s="74" t="s">
        <v>117</v>
      </c>
      <c r="B36" s="232" t="s">
        <v>277</v>
      </c>
      <c r="C36" s="30"/>
      <c r="D36" s="8" t="s">
        <v>36</v>
      </c>
      <c r="E36" s="179">
        <v>0.25</v>
      </c>
      <c r="F36" s="78">
        <f>IF(C36="Y",0.25,0)</f>
        <v>0</v>
      </c>
      <c r="G36" s="187"/>
      <c r="K36" s="218"/>
      <c r="L36" s="72"/>
      <c r="M36" s="218"/>
      <c r="N36" s="72"/>
    </row>
    <row r="37" spans="1:14" x14ac:dyDescent="0.3">
      <c r="A37" s="74" t="s">
        <v>118</v>
      </c>
      <c r="B37" s="232" t="s">
        <v>278</v>
      </c>
      <c r="C37" s="30"/>
      <c r="D37" s="8" t="s">
        <v>36</v>
      </c>
      <c r="E37" s="179">
        <v>0.25</v>
      </c>
      <c r="F37" s="78">
        <f>IF(C37="Y",0.25,0)</f>
        <v>0</v>
      </c>
      <c r="G37" s="187"/>
      <c r="K37" s="218"/>
      <c r="L37" s="72"/>
      <c r="M37" s="218"/>
      <c r="N37" s="72"/>
    </row>
    <row r="38" spans="1:14" x14ac:dyDescent="0.3">
      <c r="A38" s="219"/>
      <c r="B38" s="380" t="s">
        <v>269</v>
      </c>
      <c r="C38" s="380"/>
      <c r="D38" s="380"/>
      <c r="E38" s="381"/>
      <c r="F38" s="220">
        <f>SUM(F24:F37)</f>
        <v>0</v>
      </c>
      <c r="G38" s="221"/>
      <c r="K38" s="391"/>
      <c r="L38" s="392"/>
      <c r="M38" s="391"/>
      <c r="N38" s="392"/>
    </row>
  </sheetData>
  <sheetProtection algorithmName="SHA-512" hashValue="H66YOKwGXTWWonWaUd6UjcS3Hsfod/OUDzbli+/Q8STgm51h3dhiwyHN1QOLebShU3KHYEmzyy9x58w4hgYPXQ==" saltValue="RprY9Rr8zhLAGbrmOAVnEg==" spinCount="100000" sheet="1" objects="1" scenarios="1" selectLockedCells="1"/>
  <mergeCells count="50">
    <mergeCell ref="M27:N27"/>
    <mergeCell ref="M28:N28"/>
    <mergeCell ref="M38:N38"/>
    <mergeCell ref="M1:N1"/>
    <mergeCell ref="M2:N2"/>
    <mergeCell ref="M3:N3"/>
    <mergeCell ref="M4:N4"/>
    <mergeCell ref="M5:N5"/>
    <mergeCell ref="M6:N6"/>
    <mergeCell ref="M7:N7"/>
    <mergeCell ref="M8:N8"/>
    <mergeCell ref="M20:N20"/>
    <mergeCell ref="M21:N21"/>
    <mergeCell ref="M22:N22"/>
    <mergeCell ref="M13:N13"/>
    <mergeCell ref="M23:N23"/>
    <mergeCell ref="M24:N24"/>
    <mergeCell ref="M25:N25"/>
    <mergeCell ref="K25:L25"/>
    <mergeCell ref="K26:L26"/>
    <mergeCell ref="M26:N26"/>
    <mergeCell ref="K27:L27"/>
    <mergeCell ref="K28:L28"/>
    <mergeCell ref="K38:L38"/>
    <mergeCell ref="K20:L20"/>
    <mergeCell ref="K21:L21"/>
    <mergeCell ref="K22:L22"/>
    <mergeCell ref="K23:L23"/>
    <mergeCell ref="K24:L24"/>
    <mergeCell ref="K5:L5"/>
    <mergeCell ref="K6:L6"/>
    <mergeCell ref="K13:L13"/>
    <mergeCell ref="K7:L7"/>
    <mergeCell ref="K8:L8"/>
    <mergeCell ref="A2:B2"/>
    <mergeCell ref="K1:L1"/>
    <mergeCell ref="K2:L2"/>
    <mergeCell ref="K3:L3"/>
    <mergeCell ref="K4:L4"/>
    <mergeCell ref="B38:E38"/>
    <mergeCell ref="B5:E5"/>
    <mergeCell ref="B3:D3"/>
    <mergeCell ref="B6:D6"/>
    <mergeCell ref="B20:E20"/>
    <mergeCell ref="B21:D21"/>
    <mergeCell ref="G24:G25"/>
    <mergeCell ref="C24:C25"/>
    <mergeCell ref="D24:D25"/>
    <mergeCell ref="E24:E25"/>
    <mergeCell ref="F24:F25"/>
  </mergeCells>
  <dataValidations count="7">
    <dataValidation type="list" allowBlank="1" showInputMessage="1" showErrorMessage="1" sqref="C18:C19 C4 C8 C32:C33 C10:C12 C15:C16 C27:C28 C30 C36:C37" xr:uid="{00000000-0002-0000-0700-000001000000}">
      <formula1>"Y,N"</formula1>
    </dataValidation>
    <dataValidation type="decimal" allowBlank="1" showInputMessage="1" showErrorMessage="1" sqref="K4:N4" xr:uid="{00000000-0002-0000-0700-000003000000}">
      <formula1>0</formula1>
      <formula2>1.5</formula2>
    </dataValidation>
    <dataValidation type="decimal" allowBlank="1" showInputMessage="1" showErrorMessage="1" sqref="K25:N25 K8:N12" xr:uid="{00000000-0002-0000-0700-000007000000}">
      <formula1>0</formula1>
      <formula2>1</formula2>
    </dataValidation>
    <dataValidation type="decimal" allowBlank="1" showInputMessage="1" showErrorMessage="1" sqref="K5:N5 K7:N7 K13:N19 K22:N22" xr:uid="{00000000-0002-0000-0700-000009000000}">
      <formula1>0</formula1>
      <formula2>9.5</formula2>
    </dataValidation>
    <dataValidation type="decimal" allowBlank="1" showInputMessage="1" showErrorMessage="1" sqref="K23:N24 K27:N37" xr:uid="{00000000-0002-0000-0700-00000A000000}">
      <formula1>0</formula1>
      <formula2>2</formula2>
    </dataValidation>
    <dataValidation type="decimal" allowBlank="1" showInputMessage="1" showErrorMessage="1" sqref="K38:N38" xr:uid="{00000000-0002-0000-0700-00000B000000}">
      <formula1>0</formula1>
      <formula2>0.5</formula2>
    </dataValidation>
    <dataValidation type="list" allowBlank="1" showInputMessage="1" showErrorMessage="1" sqref="C24:C25" xr:uid="{4EA02449-B0F8-40B3-B384-B9E04A9702EB}">
      <formula1>$B$24:$B$25</formula1>
    </dataValidation>
  </dataValidations>
  <pageMargins left="0.7" right="0.7" top="0.75" bottom="0.75" header="0.3" footer="0.3"/>
  <pageSetup paperSize="9" scale="64"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1 6 " ? > < D a t a M a s h u p   x m l n s = " h t t p : / / s c h e m a s . m i c r o s o f t . c o m / D a t a M a s h u p " > A A A A A K 8 D A A B Q S w M E F A A C A A g A A 4 R d W S 3 e 0 R a k A A A A 9 g A A A B I A H A B D b 2 5 m a W c v U G F j a 2 F n Z S 5 4 b W w g o h g A K K A U A A A A A A A A A A A A A A A A A A A A A A A A A A A A h Y 9 N D o I w G E S v Q r q n f 8 T E k I + y c C u J C d G 4 b U r F R i i G F s v d X H g k r y B G U X c u 5 8 1 b z N y v N 8 j H t o k u u n e m s x l i m K J I W 9 V V x t Y Z G v w h X q J c w E a q k 6 x 1 N M n W p a O r M n T 0 / p w S E k L A I c F d X x N O K S P 7 Y l 2 q o 2 4 l + s j m v x w b 6 7 y 0 S i M B u 9 c Y w T F L G F 5 Q j i m Q G U J h 7 F f g 0 9 5 n + w N h N T R + 6 L X Q N t 6 W Q O Y I 5 P 1 B P A B Q S w M E F A A C A A g A A 4 R d W 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A O E X V m I v q V V q Q A A A P A A A A A T A B w A R m 9 y b X V s Y X M v U 2 V j d G l v b j E u b S C i G A A o o B Q A A A A A A A A A A A A A A A A A A A A A A A A A A A B t j T 8 L g z A U x P d A v k N I F w t B s K s 4 h a 5 d F D q I Q 7 S v V T R J y R + w S L 5 7 Y 4 N b 3 3 L w u 3 t 3 F g Y 3 a U X q p E W J E U Z 2 F A Y e p B H 9 A g W p y A I O I x K v 1 t 4 M E M l 1 H W D J u T c G l L t r M / d a z 9 l 5 a 2 9 C Q k X T J + 1 C y 7 V y M d K x V H C i f B T q t Z d / 3 k B j 0 y + a N 0 Y o + 9 R G c r 1 4 q X b T Z m m N b R t N t K C M u O g Q B 6 s L j B z 8 c n D l Z Q 8 m h D N G k / o 7 W H 4 B U E s B A i 0 A F A A C A A g A A 4 R d W S 3 e 0 R a k A A A A 9 g A A A B I A A A A A A A A A A A A A A A A A A A A A A E N v b m Z p Z y 9 Q Y W N r Y W d l L n h t b F B L A Q I t A B Q A A g A I A A O E X V k P y u m r p A A A A O k A A A A T A A A A A A A A A A A A A A A A A P A A A A B b Q 2 9 u d G V u d F 9 U e X B l c 1 0 u e G 1 s U E s B A i 0 A F A A C A A g A A 4 R d W Y i + p V W p A A A A 8 A A A A B M A A A A A A A A A A A A A A A A A 4 Q E A A E Z v c m 1 1 b G F z L 1 N l Y 3 R p b 2 4 x L m 1 Q S w U G A A A A A A M A A w D C A A A A 1 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Q g A A A A A A A B z C A 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g L z 4 8 L 0 l 0 Z W 0 + P E l 0 Z W 0 + P E l 0 Z W 1 M b 2 N h d G l v b j 4 8 S X R l b V R 5 c G U + R m 9 y b X V s Y T w v S X R l b V R 5 c G U + P E l 0 Z W 1 Q Y X R o P l N l Y 3 R p b 2 4 x L 1 R h Y m x l M 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R d W V y e U l E I i B W Y W x 1 Z T 0 i c z U x N z h l N T V k L T d i N z U t N G R m O C 1 i M m E y L T U 5 N m I 5 Y T Q w O T E y M S 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l Z E N v b X B s Z X R l U m V z d W x 0 V G 9 X b 3 J r c 2 h l Z X Q i I F Z h b H V l P S J s M S I g L z 4 8 R W 5 0 c n k g V H l w Z T 0 i Q W R k Z W R U b 0 R h d G F N b 2 R l b C I g V m F s d W U 9 I m w w I i A v P j x F b n R y e S B U e X B l P S J G a W x s Q 2 9 1 b n Q i I F Z h b H V l P S J s M y I g L z 4 8 R W 5 0 c n k g V H l w Z T 0 i R m l s b E V y c m 9 y Q 2 9 k Z S I g V m F s d W U 9 I n N V b m t u b 3 d u I i A v P j x F b n R y e S B U e X B l P S J G a W x s R X J y b 3 J D b 3 V u d C I g V m F s d W U 9 I m w w I i A v P j x F b n R y e S B U e X B l P S J G a W x s T G F z d F V w Z G F 0 Z W Q i I F Z h b H V l P S J k M j A y N C 0 x M C 0 y O V Q w O D o z M T o 0 O C 4 0 O T g x M D g 4 W i I g L z 4 8 R W 5 0 c n k g V H l w Z T 0 i R m l s b E N v b H V t b l R 5 c G V z I i B W Y W x 1 Z T 0 i c 0 J n V T 0 i I C 8 + P E V u d H J 5 I F R 5 c G U 9 I k Z p b G x D b 2 x 1 b W 5 O Y W 1 l c y I g V m F s d W U 9 I n N b J n F 1 b 3 Q 7 Q 2 9 s d W 1 u M S Z x d W 9 0 O y w m c X V v d D t D b 2 x 1 b W 4 y J n F 1 b 3 Q 7 X S I g L z 4 8 R W 5 0 c n k g V H l w Z T 0 i R m l s b F N 0 Y X R 1 c y I g V m F s d W U 9 I n N D b 2 1 w b G V 0 Z S I g L z 4 8 R W 5 0 c n k g V H l w Z T 0 i U m V s Y X R p b 2 5 z a G l w S W 5 m b 0 N v b n R h a W 5 l c i I g V m F s d W U 9 I n N 7 J n F 1 b 3 Q 7 Y 2 9 s d W 1 u Q 2 9 1 b n Q m c X V v d D s 6 M i w m c X V v d D t r Z X l D b 2 x 1 b W 5 O Y W 1 l c y Z x d W 9 0 O z p b X S w m c X V v d D t x d W V y e V J l b G F 0 a W 9 u c 2 h p c H M m c X V v d D s 6 W 1 0 s J n F 1 b 3 Q 7 Y 2 9 s d W 1 u S W R l b n R p d G l l c y Z x d W 9 0 O z p b J n F 1 b 3 Q 7 U 2 V j d G l v b j E v V G F i b G U x L 0 F 1 d G 9 S Z W 1 v d m V k Q 2 9 s d W 1 u c z E u e 0 N v b H V t b j E s M H 0 m c X V v d D s s J n F 1 b 3 Q 7 U 2 V j d G l v b j E v V G F i b G U x L 0 F 1 d G 9 S Z W 1 v d m V k Q 2 9 s d W 1 u c z E u e 0 N v b H V t b j I s M X 0 m c X V v d D t d L C Z x d W 9 0 O 0 N v b H V t b k N v d W 5 0 J n F 1 b 3 Q 7 O j I s J n F 1 b 3 Q 7 S 2 V 5 Q 2 9 s d W 1 u T m F t Z X M m c X V v d D s 6 W 1 0 s J n F 1 b 3 Q 7 Q 2 9 s d W 1 u S W R l b n R p d G l l c y Z x d W 9 0 O z p b J n F 1 b 3 Q 7 U 2 V j d G l v b j E v V G F i b G U x L 0 F 1 d G 9 S Z W 1 v d m V k Q 2 9 s d W 1 u c z E u e 0 N v b H V t b j E s M H 0 m c X V v d D s s J n F 1 b 3 Q 7 U 2 V j d G l v b j E v V G F i b G U x L 0 F 1 d G 9 S Z W 1 v d m V k Q 2 9 s d W 1 u c z E u e 0 N v b H V t b j I s M X 0 m c X V v d D t d L C Z x d W 9 0 O 1 J l b G F 0 a W 9 u c 2 h p c E l u Z m 8 m c X V v d D s 6 W 1 1 9 I i A v P j w v U 3 R h Y m x l R W 5 0 c m l l c z 4 8 L 0 l 0 Z W 0 + P E l 0 Z W 0 + P E l 0 Z W 1 M b 2 N h d G l v b j 4 8 S X R l b V R 5 c G U + R m 9 y b X V s Y T w v S X R l b V R 5 c G U + P E l 0 Z W 1 Q Y X R o P l N l Y 3 R p b 2 4 x L 1 R h Y m x l M S 9 T b 3 V y Y 2 U 8 L 0 l 0 Z W 1 Q Y X R o P j w v S X R l b U x v Y 2 F 0 a W 9 u P j x T d G F i b G V F b n R y a W V z I C 8 + P C 9 J d G V t P j x J d G V t P j x J d G V t T G 9 j Y X R p b 2 4 + P E l 0 Z W 1 U e X B l P k Z v c m 1 1 b G E 8 L 0 l 0 Z W 1 U e X B l P j x J d G V t U G F 0 a D 5 T Z W N 0 a W 9 u M S 9 U Y W J s Z T E v Q 2 h h b m d l Z C U y M F R 5 c G U 8 L 0 l 0 Z W 1 Q Y X R o P j w v S X R l b U x v Y 2 F 0 a W 9 u P j x T d G F i b G V F b n R y a W V z I C 8 + P C 9 J d G V t P j w v S X R l b X M + P C 9 M b 2 N h b F B h Y 2 t h Z 2 V N Z X R h Z G F 0 Y U Z p b G U + F g A A A F B L B Q Y A A A A A A A A A A A A A A A A A A A A A A A D a A A A A A Q A A A N C M n d 8 B F d E R j H o A w E / C l + s B A A A A 4 P z f g w a t a U a 6 8 y C c V 7 A 5 X A A A A A A C A A A A A A A D Z g A A w A A A A B A A A A D E i P I K 2 a 0 n F 9 F S j j q j J J m u A A A A A A S A A A C g A A A A E A A A A D u d u p y 1 9 S g v q U z p N M s O m G R Q A A A A K M B V 4 4 A u N g / 7 R K z 9 J q a g 8 Y D I H 5 c v o e h z l P 8 T + 2 8 o 6 h n + l j P D 6 b 8 V l R v t b + r P b 3 F a K j C + u g w n n m n H Z T Y Q 2 W 3 u J s a D 1 d z O q l X 6 P W b a 9 p T 2 R k w U A A A A L J 9 C G V 5 u X G I d v r P m d 7 u c E j z G Q 2 8 = < / D a t a M a s h u p > 
</file>

<file path=customXml/item4.xml><?xml version="1.0" encoding="utf-8"?>
<ct:contentTypeSchema xmlns:ct="http://schemas.microsoft.com/office/2006/metadata/contentType" xmlns:ma="http://schemas.microsoft.com/office/2006/metadata/properties/metaAttributes" ct:_="" ma:_="" ma:contentTypeName="Document" ma:contentTypeID="0x010100FF817A334131254FA24ACFAEA9B0C38B" ma:contentTypeVersion="6" ma:contentTypeDescription="Create a new document." ma:contentTypeScope="" ma:versionID="a220c38f19a4d2a545e8a5ed07723315">
  <xsd:schema xmlns:xsd="http://www.w3.org/2001/XMLSchema" xmlns:xs="http://www.w3.org/2001/XMLSchema" xmlns:p="http://schemas.microsoft.com/office/2006/metadata/properties" xmlns:ns2="877456d8-1210-4b15-ac98-75c3938124b0" xmlns:ns3="769e7733-098f-4952-a7c5-eba28e214a4c" targetNamespace="http://schemas.microsoft.com/office/2006/metadata/properties" ma:root="true" ma:fieldsID="42cd16539c784b1341d472c0d14a8e3d" ns2:_="" ns3:_="">
    <xsd:import namespace="877456d8-1210-4b15-ac98-75c3938124b0"/>
    <xsd:import namespace="769e7733-098f-4952-a7c5-eba28e214a4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7456d8-1210-4b15-ac98-75c3938124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69e7733-098f-4952-a7c5-eba28e214a4c"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F039AFC-2474-445D-82FD-F98A51AD9AD4}">
  <ds:schemaRefs>
    <ds:schemaRef ds:uri="http://schemas.microsoft.com/sharepoint/v3/contenttype/forms"/>
  </ds:schemaRefs>
</ds:datastoreItem>
</file>

<file path=customXml/itemProps2.xml><?xml version="1.0" encoding="utf-8"?>
<ds:datastoreItem xmlns:ds="http://schemas.openxmlformats.org/officeDocument/2006/customXml" ds:itemID="{5913967C-E27A-4AFC-9A93-255253FA2C58}">
  <ds:schemaRefs>
    <ds:schemaRef ds:uri="877456d8-1210-4b15-ac98-75c3938124b0"/>
    <ds:schemaRef ds:uri="http://schemas.microsoft.com/office/infopath/2007/PartnerControls"/>
    <ds:schemaRef ds:uri="http://schemas.microsoft.com/office/2006/metadata/properties"/>
    <ds:schemaRef ds:uri="http://purl.org/dc/elements/1.1/"/>
    <ds:schemaRef ds:uri="http://purl.org/dc/terms/"/>
    <ds:schemaRef ds:uri="769e7733-098f-4952-a7c5-eba28e214a4c"/>
    <ds:schemaRef ds:uri="http://schemas.microsoft.com/office/2006/documentManagement/types"/>
    <ds:schemaRef ds:uri="http://purl.org/dc/dcmitype/"/>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61F5DE20-DD8A-4B56-9AF2-656C2DDC65DF}">
  <ds:schemaRefs>
    <ds:schemaRef ds:uri="http://schemas.microsoft.com/DataMashup"/>
  </ds:schemaRefs>
</ds:datastoreItem>
</file>

<file path=customXml/itemProps4.xml><?xml version="1.0" encoding="utf-8"?>
<ds:datastoreItem xmlns:ds="http://schemas.openxmlformats.org/officeDocument/2006/customXml" ds:itemID="{745A8BC9-35BB-4284-AF97-AE90E41C1E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7456d8-1210-4b15-ac98-75c3938124b0"/>
    <ds:schemaRef ds:uri="769e7733-098f-4952-a7c5-eba28e214a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Project Details</vt:lpstr>
      <vt:lpstr>Summary</vt:lpstr>
      <vt:lpstr>1. Energy Efficiency</vt:lpstr>
      <vt:lpstr>2. Carbon</vt:lpstr>
      <vt:lpstr>3. Resilience</vt:lpstr>
      <vt:lpstr>4. Health and Wellbeing</vt:lpstr>
      <vt:lpstr>5. Intelligence</vt:lpstr>
      <vt:lpstr>6. Maintainability</vt:lpstr>
      <vt:lpstr>'3. Resilience'!Print_Area</vt:lpstr>
      <vt:lpstr>'6. Maintainability'!Print_Area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Weng Kin HO (BCA)</dc:creator>
  <cp:keywords/>
  <dc:description/>
  <cp:lastModifiedBy>Kai Siong WEE (BCA)</cp:lastModifiedBy>
  <cp:revision/>
  <cp:lastPrinted>2024-10-29T06:56:25Z</cp:lastPrinted>
  <dcterms:created xsi:type="dcterms:W3CDTF">2021-09-01T03:12:41Z</dcterms:created>
  <dcterms:modified xsi:type="dcterms:W3CDTF">2025-03-14T08:18:21Z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0x010100FF817A334131254FA24ACFAEA9B0C38B</vt:lpwstr>
  </property>
  <property fmtid="{D5CDD505-2E9C-101B-9397-08002B2CF9AE}" pid="3" name="MSIP_Label_4aaa7e78-45b1-4890-b8a3-003d1d728a3e_Enabled">
    <vt:lpwstr>true</vt:lpwstr>
  </property>
  <property fmtid="{D5CDD505-2E9C-101B-9397-08002B2CF9AE}" pid="4" name="MSIP_Label_4aaa7e78-45b1-4890-b8a3-003d1d728a3e_SetDate">
    <vt:lpwstr>2024-08-29T10:14:31Z</vt:lpwstr>
  </property>
  <property fmtid="{D5CDD505-2E9C-101B-9397-08002B2CF9AE}" pid="5" name="MSIP_Label_4aaa7e78-45b1-4890-b8a3-003d1d728a3e_Method">
    <vt:lpwstr>Privileged</vt:lpwstr>
  </property>
  <property fmtid="{D5CDD505-2E9C-101B-9397-08002B2CF9AE}" pid="6" name="MSIP_Label_4aaa7e78-45b1-4890-b8a3-003d1d728a3e_Name">
    <vt:lpwstr>Non Sensitive</vt:lpwstr>
  </property>
  <property fmtid="{D5CDD505-2E9C-101B-9397-08002B2CF9AE}" pid="7" name="MSIP_Label_4aaa7e78-45b1-4890-b8a3-003d1d728a3e_SiteId">
    <vt:lpwstr>0b11c524-9a1c-4e1b-84cb-6336aefc2243</vt:lpwstr>
  </property>
  <property fmtid="{D5CDD505-2E9C-101B-9397-08002B2CF9AE}" pid="8" name="MSIP_Label_4aaa7e78-45b1-4890-b8a3-003d1d728a3e_ActionId">
    <vt:lpwstr>0bc75cbb-b681-459f-9ac9-06027e72e63f</vt:lpwstr>
  </property>
  <property fmtid="{D5CDD505-2E9C-101B-9397-08002B2CF9AE}" pid="9" name="MSIP_Label_4aaa7e78-45b1-4890-b8a3-003d1d728a3e_ContentBits">
    <vt:lpwstr>0</vt:lpwstr>
  </property>
</Properties>
</file>